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780" tabRatio="794" firstSheet="2" activeTab="2"/>
  </bookViews>
  <sheets>
    <sheet name="EJECUCION 01" sheetId="1" r:id="rId1"/>
    <sheet name="RESUMEN 01" sheetId="2" r:id="rId2"/>
    <sheet name="WEB" sheetId="3" r:id="rId3"/>
  </sheets>
  <definedNames>
    <definedName name="_xlnm.Print_Titles" localSheetId="0">'EJECUCION 01'!$1:$6</definedName>
  </definedNames>
  <calcPr fullCalcOnLoad="1"/>
</workbook>
</file>

<file path=xl/sharedStrings.xml><?xml version="1.0" encoding="utf-8"?>
<sst xmlns="http://schemas.openxmlformats.org/spreadsheetml/2006/main" count="206" uniqueCount="165">
  <si>
    <t>TRANSFERENCIAS CORRIENTES</t>
  </si>
  <si>
    <t>EQUIPO DE COMPUTACIÓN</t>
  </si>
  <si>
    <t>MAQUINARIA Y EQUIPOS VARIOS</t>
  </si>
  <si>
    <t>370</t>
  </si>
  <si>
    <t>MOBILIARIO DE OFICINA</t>
  </si>
  <si>
    <t>350</t>
  </si>
  <si>
    <t>EQUIPO DE OFICINA</t>
  </si>
  <si>
    <t>340</t>
  </si>
  <si>
    <t>EQUIPO EDUCACIONAL Y RECREATIVO</t>
  </si>
  <si>
    <t>EQUIPO DE COMUNICACIONES</t>
  </si>
  <si>
    <t>301</t>
  </si>
  <si>
    <t>REPUESTOS</t>
  </si>
  <si>
    <t>OTROS UTILES Y MATERIALES</t>
  </si>
  <si>
    <t>UTILES Y MATERIALES DE OFICINA</t>
  </si>
  <si>
    <t>UTILES DE ASEO Y LIMPIEZA</t>
  </si>
  <si>
    <t>UTILES DE COCINA Y COMEDOR</t>
  </si>
  <si>
    <t>OTROS PRODUCTOS VARIOS</t>
  </si>
  <si>
    <t>MATERIALES Y SUMINISTROS DE COMPUTACION</t>
  </si>
  <si>
    <t>ARTICULOS O PRODUCTOS</t>
  </si>
  <si>
    <t>MATERIAL ELECTRICO</t>
  </si>
  <si>
    <t>MADERA</t>
  </si>
  <si>
    <t>PINTURAS, COLORANTES Y TINTES</t>
  </si>
  <si>
    <t>PAPELERIA</t>
  </si>
  <si>
    <t>LUBRICANTES</t>
  </si>
  <si>
    <t>GASOLINA</t>
  </si>
  <si>
    <t>DIESEL</t>
  </si>
  <si>
    <t>BEBIDAS</t>
  </si>
  <si>
    <t>203</t>
  </si>
  <si>
    <t>MATERIALES Y SUMINISTROS</t>
  </si>
  <si>
    <t>MANT. Y REP. DE MAQUINARIAS Y OTROS EQ.</t>
  </si>
  <si>
    <t>MANTENIMIENTO Y REP. DE EDIFICIOS</t>
  </si>
  <si>
    <t>169</t>
  </si>
  <si>
    <t>GASTOS DE SEGUROS</t>
  </si>
  <si>
    <t>TRANSPORTE DENTRO DEL PAIS</t>
  </si>
  <si>
    <t>VIATICOS EN EL EXTERIOR</t>
  </si>
  <si>
    <t>IMPRESION, ENCUADERNACION Y OTROS</t>
  </si>
  <si>
    <t>120</t>
  </si>
  <si>
    <t>SERVICIO DE TRANSMISION DE DATOS</t>
  </si>
  <si>
    <t>TELECOMUNICACIONES</t>
  </si>
  <si>
    <t>ENERGIA ELECTRICA</t>
  </si>
  <si>
    <t>CORREO</t>
  </si>
  <si>
    <t>ASEO</t>
  </si>
  <si>
    <t>DE EQUIPO DE OFICINA</t>
  </si>
  <si>
    <t>DE EDIFICIOS Y LOCALES</t>
  </si>
  <si>
    <t>101</t>
  </si>
  <si>
    <t>SERVICIOS NO PERSONALES</t>
  </si>
  <si>
    <t>CUOTA PATRONAL PARA EL FONDO COMPLEMENT.</t>
  </si>
  <si>
    <t>074</t>
  </si>
  <si>
    <t>CUOTA PATRONAL DE RIESGO PROFESIONAL</t>
  </si>
  <si>
    <t>073</t>
  </si>
  <si>
    <t>CUOTA PATRONAL DE SEGURO EDUCATIVO</t>
  </si>
  <si>
    <t>072</t>
  </si>
  <si>
    <t>CUOTA PATRONAL DE SEGURO SOCIAL</t>
  </si>
  <si>
    <t>071</t>
  </si>
  <si>
    <t>XIII MES</t>
  </si>
  <si>
    <t>050</t>
  </si>
  <si>
    <t>GASTOS DE REPRESENTACION FIJOS</t>
  </si>
  <si>
    <t>030</t>
  </si>
  <si>
    <t>PERSONAL FIJO (SUELDOS)</t>
  </si>
  <si>
    <t>001</t>
  </si>
  <si>
    <t>SERVICIOS PERSONALES</t>
  </si>
  <si>
    <t>FUNCIONAMIENTO</t>
  </si>
  <si>
    <t>DESCRIPCIÓN</t>
  </si>
  <si>
    <t>CTA.</t>
  </si>
  <si>
    <t>INFORME DE EJECUCIÓN PRESUPUESTARIA (FUNCIONAMIENTO)</t>
  </si>
  <si>
    <t>DIRECCIÓN DE ADMINISTRACIÓN Y FINANZAS - DEPARTAMENTO DE PRESUPUESTO</t>
  </si>
  <si>
    <t>624</t>
  </si>
  <si>
    <t>PROMOCION Y PUBLICIDAD</t>
  </si>
  <si>
    <t>OTROS SERVICIOS COMERCIALES Y FINANCIEROS</t>
  </si>
  <si>
    <t>MATERIAL DE FONTANERÍA</t>
  </si>
  <si>
    <t>CAPACITACION Y ESTUDIO</t>
  </si>
  <si>
    <t>OTRAS BECAS</t>
  </si>
  <si>
    <t>629</t>
  </si>
  <si>
    <t>221</t>
  </si>
  <si>
    <t>223</t>
  </si>
  <si>
    <t>224</t>
  </si>
  <si>
    <t>232</t>
  </si>
  <si>
    <t>243</t>
  </si>
  <si>
    <t>253</t>
  </si>
  <si>
    <t>254</t>
  </si>
  <si>
    <t>255</t>
  </si>
  <si>
    <t>261</t>
  </si>
  <si>
    <t>265</t>
  </si>
  <si>
    <t>269</t>
  </si>
  <si>
    <t>271</t>
  </si>
  <si>
    <t>273</t>
  </si>
  <si>
    <t>275</t>
  </si>
  <si>
    <t>279</t>
  </si>
  <si>
    <t>280</t>
  </si>
  <si>
    <t>103</t>
  </si>
  <si>
    <t>112</t>
  </si>
  <si>
    <t>113</t>
  </si>
  <si>
    <t>114</t>
  </si>
  <si>
    <t>115</t>
  </si>
  <si>
    <t>116</t>
  </si>
  <si>
    <t>132</t>
  </si>
  <si>
    <t>142</t>
  </si>
  <si>
    <t>151</t>
  </si>
  <si>
    <t>164</t>
  </si>
  <si>
    <t>181</t>
  </si>
  <si>
    <t>182</t>
  </si>
  <si>
    <t>DE EQUIPO ELECTRONICO</t>
  </si>
  <si>
    <t>102</t>
  </si>
  <si>
    <t>AGUA</t>
  </si>
  <si>
    <t>OTRAS TRANSFERENCIAS AL EXTERIOR</t>
  </si>
  <si>
    <t>Presupuesto Ley</t>
  </si>
  <si>
    <t>Presupuesto Modificado</t>
  </si>
  <si>
    <t>(En Balboas)</t>
  </si>
  <si>
    <t>GOBIERNO CENTRAL</t>
  </si>
  <si>
    <t>Fuente: Departamento de Presupuesto ANTAI</t>
  </si>
  <si>
    <t>(en balboas)</t>
  </si>
  <si>
    <t>AUTORIDAD NACIONAL DE TRANSPARENCIA Y ACCESO A LA INFORMACIÓN</t>
  </si>
  <si>
    <t>DEPARTAMENTO DE PRESUPUESTO</t>
  </si>
  <si>
    <t>Objeto de gasto</t>
  </si>
  <si>
    <t>Descripción</t>
  </si>
  <si>
    <t>SERVICIOS  PERSONALES</t>
  </si>
  <si>
    <t>TOTALES B/.</t>
  </si>
  <si>
    <t xml:space="preserve"> SERVICIOS NO PERSONALES</t>
  </si>
  <si>
    <t xml:space="preserve"> MATERIALES Y SUMINISTRO</t>
  </si>
  <si>
    <t xml:space="preserve"> MAQUINARIA Y EQUIPO</t>
  </si>
  <si>
    <t xml:space="preserve"> TRANFERENCIAS CORRIENTES </t>
  </si>
  <si>
    <t>Disponible por Ejecutar</t>
  </si>
  <si>
    <t>% Ejecución Comprometido</t>
  </si>
  <si>
    <t xml:space="preserve">(2)                    CREDITOS EXTRAORDINARIOS / TRASLADOS   </t>
  </si>
  <si>
    <t>INFORME DE EJECUCIÓN PRESUPUESTARIA DE GASTO - (FUNCIONAMIENTO)</t>
  </si>
  <si>
    <t xml:space="preserve">Presupuesto   Asignado </t>
  </si>
  <si>
    <t xml:space="preserve">Compromisos  Ejecutados </t>
  </si>
  <si>
    <t>OTROS MATERIALES DE CONSTRUCCIÓN</t>
  </si>
  <si>
    <t xml:space="preserve">(1)     PRESUPUESTO LEY                                                                                                                 
</t>
  </si>
  <si>
    <t xml:space="preserve">SERVICIOS DE TELEFONIA CELULAR </t>
  </si>
  <si>
    <t>172</t>
  </si>
  <si>
    <t>SERVICIOS ESPECIALES</t>
  </si>
  <si>
    <t xml:space="preserve"> EJECUCIÓN PRESUPUESTARIA POR OBJETO DE GASTO</t>
  </si>
  <si>
    <t>DETALLE</t>
  </si>
  <si>
    <t>PRESUPUESTO</t>
  </si>
  <si>
    <t xml:space="preserve">COMPROMISOS EJECUTADO </t>
  </si>
  <si>
    <t>SALDO POR ASIGNAR A LA FECHA</t>
  </si>
  <si>
    <t>LEY</t>
  </si>
  <si>
    <t>MODIFICADO</t>
  </si>
  <si>
    <t>ASIGNADO</t>
  </si>
  <si>
    <t>(5)=(2)-(3)</t>
  </si>
  <si>
    <t>AL 31 DE ENERO DE 2021</t>
  </si>
  <si>
    <t xml:space="preserve">(12)                 PAGADO </t>
  </si>
  <si>
    <t>(3)    CONTENSIÓN DEL GASTO</t>
  </si>
  <si>
    <t xml:space="preserve"> (4) PRESUPUESTO MODIFICADO                                
</t>
  </si>
  <si>
    <t xml:space="preserve">(5)                 ASIGNADO 
</t>
  </si>
  <si>
    <t xml:space="preserve">(6)                    SALDO DE CONTRATOS POR EJECUTAR </t>
  </si>
  <si>
    <t xml:space="preserve">(7)            COMPROMISO MENSUAL      </t>
  </si>
  <si>
    <t>(8)     COMPROMISOS   /EJECUTADO</t>
  </si>
  <si>
    <t xml:space="preserve">(9)                 SALDO A LA FECHA                  (5-8)           </t>
  </si>
  <si>
    <t>(10)                                   SALDO ANUAL        (4-6-8)</t>
  </si>
  <si>
    <t>(11)                     SALDO POR ASIGNAR          (4-5)</t>
  </si>
  <si>
    <t>(13)                      POR PAGAR A LA FECHA          (8-12)</t>
  </si>
  <si>
    <t>% EJEC. (COMP. MENS.. VS PRES. MOD..) 
(7/4)</t>
  </si>
  <si>
    <t>% EJEC. (COMP. EJEC. VS PRES. ASIG.) 
(8/5)</t>
  </si>
  <si>
    <t>(13)                     % EJEC. (COMP. EJEC..  VS PRES. MOD.) 
(8/4)</t>
  </si>
  <si>
    <t>VARIACIÓN PORCENTUAL EJECUTADO VS PRESUPUESTO MODI. (6)=(4/2)*100</t>
  </si>
  <si>
    <t>091</t>
  </si>
  <si>
    <t>092</t>
  </si>
  <si>
    <t>099</t>
  </si>
  <si>
    <t>SUELDOS</t>
  </si>
  <si>
    <t>III MES</t>
  </si>
  <si>
    <t>CONTRIBUCIONES A LA SEGURIDAD</t>
  </si>
  <si>
    <t>SERVICIOS COMERCIALES Y FINANCIEROS</t>
  </si>
  <si>
    <t>AL 28 DE FEBRERO DE 2021</t>
  </si>
</sst>
</file>

<file path=xl/styles.xml><?xml version="1.0" encoding="utf-8"?>
<styleSheet xmlns="http://schemas.openxmlformats.org/spreadsheetml/2006/main">
  <numFmts count="53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0.0%"/>
    <numFmt numFmtId="189" formatCode="#,##0.0"/>
    <numFmt numFmtId="190" formatCode="[$-180A]dddd\,\ dd&quot; de &quot;mmmm&quot; de &quot;yyyy"/>
    <numFmt numFmtId="191" formatCode="[$-180A]hh:mm:ss\ AM/PM"/>
    <numFmt numFmtId="192" formatCode="#,##0.000"/>
    <numFmt numFmtId="193" formatCode="0.0"/>
    <numFmt numFmtId="194" formatCode="#,##0.0000"/>
    <numFmt numFmtId="195" formatCode="0.000%"/>
    <numFmt numFmtId="196" formatCode="0.000"/>
    <numFmt numFmtId="197" formatCode="#,##0.000000"/>
    <numFmt numFmtId="198" formatCode="0.000000%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180A]h:mm:ss\ AM/PM"/>
    <numFmt numFmtId="204" formatCode="#,##0.00;[Red]#,##0.00"/>
    <numFmt numFmtId="205" formatCode="#,##0.00;\-#,##0.00;&quot; &quot;"/>
    <numFmt numFmtId="206" formatCode="_(* #,##0_);_(* \(#,##0\);_(* &quot;-&quot;??_);_(@_)"/>
    <numFmt numFmtId="207" formatCode="#,##0;\-#,##0;&quot; &quot;"/>
    <numFmt numFmtId="208" formatCode="_(* #,##0.0_);_(* \(#,##0.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>
        <color indexed="63"/>
      </right>
      <top/>
      <bottom/>
    </border>
    <border>
      <left/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51" fillId="0" borderId="13" xfId="0" applyFont="1" applyFill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9" fontId="52" fillId="0" borderId="14" xfId="0" applyNumberFormat="1" applyFont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9" fontId="51" fillId="34" borderId="14" xfId="0" applyNumberFormat="1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>
      <alignment wrapText="1"/>
    </xf>
    <xf numFmtId="3" fontId="3" fillId="0" borderId="16" xfId="0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Fill="1" applyBorder="1" applyAlignment="1">
      <alignment wrapText="1"/>
    </xf>
    <xf numFmtId="3" fontId="53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 applyProtection="1">
      <alignment/>
      <protection locked="0"/>
    </xf>
    <xf numFmtId="3" fontId="7" fillId="0" borderId="16" xfId="0" applyNumberFormat="1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 quotePrefix="1">
      <alignment horizontal="left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3" fontId="6" fillId="0" borderId="19" xfId="0" applyNumberFormat="1" applyFont="1" applyFill="1" applyBorder="1" applyAlignment="1">
      <alignment wrapText="1"/>
    </xf>
    <xf numFmtId="3" fontId="6" fillId="0" borderId="17" xfId="0" applyNumberFormat="1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206" fontId="54" fillId="35" borderId="20" xfId="49" applyNumberFormat="1" applyFont="1" applyFill="1" applyBorder="1" applyAlignment="1">
      <alignment horizontal="center" vertical="center" wrapText="1"/>
    </xf>
    <xf numFmtId="206" fontId="54" fillId="35" borderId="20" xfId="49" applyNumberFormat="1" applyFont="1" applyFill="1" applyBorder="1" applyAlignment="1">
      <alignment horizontal="left" vertical="center" wrapText="1"/>
    </xf>
    <xf numFmtId="206" fontId="54" fillId="0" borderId="21" xfId="49" applyNumberFormat="1" applyFont="1" applyBorder="1" applyAlignment="1">
      <alignment horizontal="right" vertical="center"/>
    </xf>
    <xf numFmtId="9" fontId="8" fillId="0" borderId="21" xfId="55" applyNumberFormat="1" applyFont="1" applyFill="1" applyBorder="1" applyAlignment="1">
      <alignment horizontal="right" vertical="center" wrapText="1"/>
    </xf>
    <xf numFmtId="206" fontId="54" fillId="0" borderId="16" xfId="49" applyNumberFormat="1" applyFont="1" applyBorder="1" applyAlignment="1">
      <alignment horizontal="right" vertical="center"/>
    </xf>
    <xf numFmtId="9" fontId="8" fillId="0" borderId="16" xfId="55" applyNumberFormat="1" applyFont="1" applyFill="1" applyBorder="1" applyAlignment="1">
      <alignment horizontal="right" vertical="center" wrapText="1"/>
    </xf>
    <xf numFmtId="206" fontId="55" fillId="0" borderId="16" xfId="49" applyNumberFormat="1" applyFont="1" applyBorder="1" applyAlignment="1">
      <alignment horizontal="right" vertical="center"/>
    </xf>
    <xf numFmtId="9" fontId="8" fillId="0" borderId="22" xfId="55" applyNumberFormat="1" applyFont="1" applyFill="1" applyBorder="1" applyAlignment="1">
      <alignment horizontal="right" vertical="center" wrapText="1"/>
    </xf>
    <xf numFmtId="206" fontId="54" fillId="0" borderId="21" xfId="49" applyNumberFormat="1" applyFont="1" applyBorder="1" applyAlignment="1">
      <alignment horizontal="right" vertical="center" wrapText="1"/>
    </xf>
    <xf numFmtId="206" fontId="54" fillId="0" borderId="22" xfId="49" applyNumberFormat="1" applyFont="1" applyBorder="1" applyAlignment="1">
      <alignment horizontal="right" vertical="center"/>
    </xf>
    <xf numFmtId="3" fontId="9" fillId="33" borderId="16" xfId="0" applyNumberFormat="1" applyFont="1" applyFill="1" applyBorder="1" applyAlignment="1">
      <alignment vertical="center"/>
    </xf>
    <xf numFmtId="3" fontId="8" fillId="33" borderId="16" xfId="0" applyNumberFormat="1" applyFont="1" applyFill="1" applyBorder="1" applyAlignment="1">
      <alignment vertical="center"/>
    </xf>
    <xf numFmtId="3" fontId="8" fillId="33" borderId="22" xfId="0" applyNumberFormat="1" applyFont="1" applyFill="1" applyBorder="1" applyAlignment="1">
      <alignment vertical="center"/>
    </xf>
    <xf numFmtId="0" fontId="56" fillId="0" borderId="0" xfId="0" applyFont="1" applyAlignment="1">
      <alignment vertical="center"/>
    </xf>
    <xf numFmtId="206" fontId="54" fillId="0" borderId="21" xfId="49" applyNumberFormat="1" applyFont="1" applyFill="1" applyBorder="1" applyAlignment="1">
      <alignment horizontal="right" vertical="center" wrapText="1"/>
    </xf>
    <xf numFmtId="206" fontId="54" fillId="35" borderId="22" xfId="49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right" vertical="center" wrapText="1"/>
    </xf>
    <xf numFmtId="9" fontId="3" fillId="0" borderId="22" xfId="0" applyNumberFormat="1" applyFont="1" applyFill="1" applyBorder="1" applyAlignment="1">
      <alignment horizontal="right" vertical="center" wrapText="1"/>
    </xf>
    <xf numFmtId="0" fontId="53" fillId="0" borderId="0" xfId="0" applyFont="1" applyFill="1" applyAlignment="1">
      <alignment/>
    </xf>
    <xf numFmtId="171" fontId="53" fillId="0" borderId="0" xfId="49" applyFont="1" applyFill="1" applyAlignment="1">
      <alignment/>
    </xf>
    <xf numFmtId="9" fontId="53" fillId="0" borderId="0" xfId="0" applyNumberFormat="1" applyFont="1" applyFill="1" applyAlignment="1">
      <alignment/>
    </xf>
    <xf numFmtId="9" fontId="6" fillId="0" borderId="16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3" fontId="2" fillId="0" borderId="22" xfId="0" applyNumberFormat="1" applyFont="1" applyFill="1" applyBorder="1" applyAlignment="1" applyProtection="1">
      <alignment/>
      <protection locked="0"/>
    </xf>
    <xf numFmtId="0" fontId="57" fillId="0" borderId="0" xfId="0" applyFont="1" applyFill="1" applyAlignment="1">
      <alignment/>
    </xf>
    <xf numFmtId="171" fontId="57" fillId="0" borderId="0" xfId="49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9" fontId="6" fillId="0" borderId="17" xfId="0" applyNumberFormat="1" applyFont="1" applyFill="1" applyBorder="1" applyAlignment="1">
      <alignment horizontal="right" vertical="center" wrapText="1"/>
    </xf>
    <xf numFmtId="9" fontId="3" fillId="0" borderId="17" xfId="0" applyNumberFormat="1" applyFont="1" applyFill="1" applyBorder="1" applyAlignment="1">
      <alignment horizontal="right" vertical="center" wrapText="1"/>
    </xf>
    <xf numFmtId="9" fontId="3" fillId="0" borderId="20" xfId="0" applyNumberFormat="1" applyFont="1" applyFill="1" applyBorder="1" applyAlignment="1">
      <alignment horizontal="right" vertical="center" wrapText="1"/>
    </xf>
    <xf numFmtId="9" fontId="53" fillId="0" borderId="0" xfId="55" applyFont="1" applyFill="1" applyAlignment="1">
      <alignment/>
    </xf>
    <xf numFmtId="9" fontId="57" fillId="0" borderId="0" xfId="55" applyFont="1" applyFill="1" applyAlignment="1">
      <alignment/>
    </xf>
    <xf numFmtId="9" fontId="9" fillId="0" borderId="16" xfId="55" applyNumberFormat="1" applyFont="1" applyFill="1" applyBorder="1" applyAlignment="1">
      <alignment horizontal="right" vertical="center" wrapText="1"/>
    </xf>
    <xf numFmtId="206" fontId="54" fillId="0" borderId="21" xfId="49" applyNumberFormat="1" applyFont="1" applyBorder="1" applyAlignment="1">
      <alignment vertical="center" wrapText="1"/>
    </xf>
    <xf numFmtId="206" fontId="54" fillId="0" borderId="16" xfId="49" applyNumberFormat="1" applyFont="1" applyBorder="1" applyAlignment="1">
      <alignment vertical="center" wrapText="1"/>
    </xf>
    <xf numFmtId="206" fontId="55" fillId="0" borderId="16" xfId="49" applyNumberFormat="1" applyFont="1" applyBorder="1" applyAlignment="1">
      <alignment vertical="center" wrapText="1"/>
    </xf>
    <xf numFmtId="206" fontId="54" fillId="0" borderId="22" xfId="49" applyNumberFormat="1" applyFont="1" applyBorder="1" applyAlignment="1">
      <alignment vertical="center" wrapText="1"/>
    </xf>
    <xf numFmtId="206" fontId="54" fillId="35" borderId="13" xfId="49" applyNumberFormat="1" applyFont="1" applyFill="1" applyBorder="1" applyAlignment="1">
      <alignment horizontal="left" vertical="center" wrapText="1"/>
    </xf>
    <xf numFmtId="3" fontId="2" fillId="0" borderId="20" xfId="0" applyNumberFormat="1" applyFont="1" applyFill="1" applyBorder="1" applyAlignment="1" applyProtection="1">
      <alignment/>
      <protection locked="0"/>
    </xf>
    <xf numFmtId="0" fontId="53" fillId="0" borderId="23" xfId="0" applyFont="1" applyFill="1" applyBorder="1" applyAlignment="1">
      <alignment horizontal="left"/>
    </xf>
    <xf numFmtId="0" fontId="5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9" fontId="3" fillId="0" borderId="22" xfId="0" applyNumberFormat="1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/>
    </xf>
    <xf numFmtId="0" fontId="53" fillId="0" borderId="24" xfId="0" applyFont="1" applyFill="1" applyBorder="1" applyAlignment="1">
      <alignment/>
    </xf>
    <xf numFmtId="9" fontId="3" fillId="0" borderId="20" xfId="0" applyNumberFormat="1" applyFont="1" applyFill="1" applyBorder="1" applyAlignment="1">
      <alignment horizontal="center" vertical="center" wrapText="1"/>
    </xf>
    <xf numFmtId="9" fontId="53" fillId="0" borderId="0" xfId="55" applyFont="1" applyFill="1" applyBorder="1" applyAlignment="1">
      <alignment/>
    </xf>
    <xf numFmtId="171" fontId="53" fillId="0" borderId="0" xfId="49" applyFont="1" applyFill="1" applyBorder="1" applyAlignment="1">
      <alignment/>
    </xf>
    <xf numFmtId="9" fontId="53" fillId="0" borderId="24" xfId="55" applyFont="1" applyFill="1" applyBorder="1" applyAlignment="1">
      <alignment/>
    </xf>
    <xf numFmtId="171" fontId="53" fillId="0" borderId="24" xfId="49" applyFont="1" applyFill="1" applyBorder="1" applyAlignment="1">
      <alignment/>
    </xf>
    <xf numFmtId="9" fontId="3" fillId="0" borderId="0" xfId="0" applyNumberFormat="1" applyFont="1" applyFill="1" applyBorder="1" applyAlignment="1">
      <alignment horizontal="right" vertical="center" wrapText="1"/>
    </xf>
    <xf numFmtId="9" fontId="3" fillId="0" borderId="24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2" fillId="0" borderId="17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 quotePrefix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 quotePrefix="1">
      <alignment horizontal="left"/>
      <protection locked="0"/>
    </xf>
    <xf numFmtId="0" fontId="3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>
      <alignment horizontal="center" vertical="center" wrapText="1"/>
    </xf>
    <xf numFmtId="3" fontId="53" fillId="0" borderId="17" xfId="0" applyNumberFormat="1" applyFont="1" applyFill="1" applyBorder="1" applyAlignment="1">
      <alignment/>
    </xf>
    <xf numFmtId="9" fontId="3" fillId="0" borderId="25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 applyProtection="1">
      <alignment/>
      <protection/>
    </xf>
    <xf numFmtId="3" fontId="2" fillId="0" borderId="20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wrapText="1"/>
      <protection locked="0"/>
    </xf>
    <xf numFmtId="0" fontId="2" fillId="13" borderId="16" xfId="0" applyFont="1" applyFill="1" applyBorder="1" applyAlignment="1" applyProtection="1" quotePrefix="1">
      <alignment horizontal="left"/>
      <protection locked="0"/>
    </xf>
    <xf numFmtId="0" fontId="2" fillId="13" borderId="17" xfId="0" applyFont="1" applyFill="1" applyBorder="1" applyAlignment="1" applyProtection="1">
      <alignment/>
      <protection locked="0"/>
    </xf>
    <xf numFmtId="9" fontId="6" fillId="0" borderId="17" xfId="0" applyNumberFormat="1" applyFont="1" applyFill="1" applyBorder="1" applyAlignment="1">
      <alignment horizontal="right" wrapText="1"/>
    </xf>
    <xf numFmtId="0" fontId="3" fillId="19" borderId="25" xfId="0" applyFont="1" applyFill="1" applyBorder="1" applyAlignment="1">
      <alignment horizontal="center" vertical="center" wrapText="1"/>
    </xf>
    <xf numFmtId="0" fontId="3" fillId="19" borderId="19" xfId="0" applyFont="1" applyFill="1" applyBorder="1" applyAlignment="1">
      <alignment horizontal="center" vertical="center" wrapText="1"/>
    </xf>
    <xf numFmtId="3" fontId="6" fillId="19" borderId="19" xfId="0" applyNumberFormat="1" applyFont="1" applyFill="1" applyBorder="1" applyAlignment="1">
      <alignment wrapText="1"/>
    </xf>
    <xf numFmtId="3" fontId="6" fillId="19" borderId="17" xfId="0" applyNumberFormat="1" applyFont="1" applyFill="1" applyBorder="1" applyAlignment="1">
      <alignment/>
    </xf>
    <xf numFmtId="205" fontId="53" fillId="19" borderId="17" xfId="0" applyNumberFormat="1" applyFont="1" applyFill="1" applyBorder="1" applyAlignment="1">
      <alignment/>
    </xf>
    <xf numFmtId="205" fontId="58" fillId="19" borderId="17" xfId="0" applyNumberFormat="1" applyFont="1" applyFill="1" applyBorder="1" applyAlignment="1">
      <alignment/>
    </xf>
    <xf numFmtId="3" fontId="6" fillId="19" borderId="17" xfId="0" applyNumberFormat="1" applyFont="1" applyFill="1" applyBorder="1" applyAlignment="1">
      <alignment wrapText="1"/>
    </xf>
    <xf numFmtId="3" fontId="3" fillId="19" borderId="17" xfId="0" applyNumberFormat="1" applyFont="1" applyFill="1" applyBorder="1" applyAlignment="1" applyProtection="1">
      <alignment/>
      <protection locked="0"/>
    </xf>
    <xf numFmtId="3" fontId="2" fillId="19" borderId="17" xfId="0" applyNumberFormat="1" applyFont="1" applyFill="1" applyBorder="1" applyAlignment="1" applyProtection="1">
      <alignment/>
      <protection locked="0"/>
    </xf>
    <xf numFmtId="205" fontId="53" fillId="19" borderId="20" xfId="0" applyNumberFormat="1" applyFont="1" applyFill="1" applyBorder="1" applyAlignment="1">
      <alignment/>
    </xf>
    <xf numFmtId="205" fontId="58" fillId="19" borderId="20" xfId="0" applyNumberFormat="1" applyFont="1" applyFill="1" applyBorder="1" applyAlignment="1">
      <alignment/>
    </xf>
    <xf numFmtId="0" fontId="3" fillId="19" borderId="22" xfId="0" applyFont="1" applyFill="1" applyBorder="1" applyAlignment="1">
      <alignment horizontal="center" vertical="center" wrapText="1"/>
    </xf>
    <xf numFmtId="0" fontId="3" fillId="19" borderId="24" xfId="0" applyFont="1" applyFill="1" applyBorder="1" applyAlignment="1">
      <alignment horizontal="center" vertical="center" wrapText="1"/>
    </xf>
    <xf numFmtId="0" fontId="3" fillId="19" borderId="26" xfId="0" applyFont="1" applyFill="1" applyBorder="1" applyAlignment="1">
      <alignment horizontal="center" vertical="center" wrapText="1"/>
    </xf>
    <xf numFmtId="3" fontId="7" fillId="19" borderId="17" xfId="0" applyNumberFormat="1" applyFont="1" applyFill="1" applyBorder="1" applyAlignment="1" applyProtection="1">
      <alignment/>
      <protection locked="0"/>
    </xf>
    <xf numFmtId="3" fontId="7" fillId="19" borderId="16" xfId="0" applyNumberFormat="1" applyFont="1" applyFill="1" applyBorder="1" applyAlignment="1" applyProtection="1">
      <alignment/>
      <protection locked="0"/>
    </xf>
    <xf numFmtId="205" fontId="53" fillId="19" borderId="16" xfId="0" applyNumberFormat="1" applyFont="1" applyFill="1" applyBorder="1" applyAlignment="1">
      <alignment/>
    </xf>
    <xf numFmtId="3" fontId="2" fillId="19" borderId="16" xfId="0" applyNumberFormat="1" applyFont="1" applyFill="1" applyBorder="1" applyAlignment="1" applyProtection="1">
      <alignment/>
      <protection locked="0"/>
    </xf>
    <xf numFmtId="0" fontId="53" fillId="19" borderId="17" xfId="0" applyFont="1" applyFill="1" applyBorder="1" applyAlignment="1">
      <alignment/>
    </xf>
    <xf numFmtId="0" fontId="53" fillId="19" borderId="16" xfId="0" applyFont="1" applyFill="1" applyBorder="1" applyAlignment="1">
      <alignment/>
    </xf>
    <xf numFmtId="3" fontId="53" fillId="19" borderId="20" xfId="0" applyNumberFormat="1" applyFont="1" applyFill="1" applyBorder="1" applyAlignment="1">
      <alignment/>
    </xf>
    <xf numFmtId="3" fontId="53" fillId="19" borderId="22" xfId="0" applyNumberFormat="1" applyFont="1" applyFill="1" applyBorder="1" applyAlignment="1">
      <alignment/>
    </xf>
    <xf numFmtId="0" fontId="53" fillId="19" borderId="0" xfId="0" applyFont="1" applyFill="1" applyAlignment="1">
      <alignment/>
    </xf>
    <xf numFmtId="205" fontId="53" fillId="19" borderId="22" xfId="0" applyNumberFormat="1" applyFont="1" applyFill="1" applyBorder="1" applyAlignment="1">
      <alignment/>
    </xf>
    <xf numFmtId="0" fontId="3" fillId="19" borderId="13" xfId="0" applyFont="1" applyFill="1" applyBorder="1" applyAlignment="1">
      <alignment horizontal="center" vertical="center" wrapText="1"/>
    </xf>
    <xf numFmtId="205" fontId="57" fillId="19" borderId="17" xfId="0" applyNumberFormat="1" applyFont="1" applyFill="1" applyBorder="1" applyAlignment="1">
      <alignment/>
    </xf>
    <xf numFmtId="3" fontId="2" fillId="19" borderId="20" xfId="0" applyNumberFormat="1" applyFont="1" applyFill="1" applyBorder="1" applyAlignment="1" applyProtection="1">
      <alignment/>
      <protection locked="0"/>
    </xf>
    <xf numFmtId="3" fontId="53" fillId="19" borderId="17" xfId="0" applyNumberFormat="1" applyFont="1" applyFill="1" applyBorder="1" applyAlignment="1" applyProtection="1">
      <alignment/>
      <protection locked="0"/>
    </xf>
    <xf numFmtId="0" fontId="3" fillId="19" borderId="20" xfId="0" applyFont="1" applyFill="1" applyBorder="1" applyAlignment="1">
      <alignment horizontal="center" vertical="center" wrapText="1"/>
    </xf>
    <xf numFmtId="3" fontId="2" fillId="19" borderId="22" xfId="0" applyNumberFormat="1" applyFont="1" applyFill="1" applyBorder="1" applyAlignment="1" applyProtection="1">
      <alignment/>
      <protection locked="0"/>
    </xf>
    <xf numFmtId="3" fontId="3" fillId="19" borderId="17" xfId="0" applyNumberFormat="1" applyFont="1" applyFill="1" applyBorder="1" applyAlignment="1">
      <alignment wrapText="1"/>
    </xf>
    <xf numFmtId="3" fontId="3" fillId="19" borderId="20" xfId="0" applyNumberFormat="1" applyFont="1" applyFill="1" applyBorder="1" applyAlignment="1">
      <alignment wrapText="1"/>
    </xf>
    <xf numFmtId="3" fontId="6" fillId="19" borderId="16" xfId="0" applyNumberFormat="1" applyFont="1" applyFill="1" applyBorder="1" applyAlignment="1">
      <alignment wrapText="1"/>
    </xf>
    <xf numFmtId="3" fontId="3" fillId="19" borderId="16" xfId="0" applyNumberFormat="1" applyFont="1" applyFill="1" applyBorder="1" applyAlignment="1">
      <alignment wrapText="1"/>
    </xf>
    <xf numFmtId="3" fontId="3" fillId="19" borderId="22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51" fillId="34" borderId="0" xfId="0" applyFont="1" applyFill="1" applyAlignment="1">
      <alignment horizontal="center" wrapText="1"/>
    </xf>
    <xf numFmtId="0" fontId="51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 vertical="top" wrapText="1"/>
    </xf>
    <xf numFmtId="206" fontId="59" fillId="0" borderId="0" xfId="49" applyNumberFormat="1" applyFont="1" applyAlignment="1">
      <alignment horizontal="center" vertical="center"/>
    </xf>
    <xf numFmtId="206" fontId="54" fillId="0" borderId="0" xfId="49" applyNumberFormat="1" applyFont="1" applyAlignment="1">
      <alignment horizontal="center" vertical="center"/>
    </xf>
    <xf numFmtId="206" fontId="54" fillId="0" borderId="24" xfId="49" applyNumberFormat="1" applyFont="1" applyBorder="1" applyAlignment="1">
      <alignment horizontal="center" vertical="center"/>
    </xf>
    <xf numFmtId="206" fontId="54" fillId="35" borderId="21" xfId="49" applyNumberFormat="1" applyFont="1" applyFill="1" applyBorder="1" applyAlignment="1">
      <alignment horizontal="center" vertical="center" wrapText="1"/>
    </xf>
    <xf numFmtId="206" fontId="54" fillId="35" borderId="16" xfId="49" applyNumberFormat="1" applyFont="1" applyFill="1" applyBorder="1" applyAlignment="1">
      <alignment horizontal="center" vertical="center" wrapText="1"/>
    </xf>
    <xf numFmtId="206" fontId="54" fillId="35" borderId="22" xfId="49" applyNumberFormat="1" applyFont="1" applyFill="1" applyBorder="1" applyAlignment="1">
      <alignment horizontal="center" vertical="center" wrapText="1"/>
    </xf>
    <xf numFmtId="206" fontId="54" fillId="35" borderId="26" xfId="49" applyNumberFormat="1" applyFont="1" applyFill="1" applyBorder="1" applyAlignment="1">
      <alignment horizontal="center" vertical="center" wrapText="1"/>
    </xf>
    <xf numFmtId="206" fontId="54" fillId="35" borderId="27" xfId="49" applyNumberFormat="1" applyFont="1" applyFill="1" applyBorder="1" applyAlignment="1">
      <alignment horizontal="center" vertical="center" wrapText="1"/>
    </xf>
    <xf numFmtId="206" fontId="54" fillId="35" borderId="25" xfId="49" applyNumberFormat="1" applyFont="1" applyFill="1" applyBorder="1" applyAlignment="1">
      <alignment horizontal="center" vertical="center" wrapText="1"/>
    </xf>
    <xf numFmtId="206" fontId="54" fillId="35" borderId="19" xfId="49" applyNumberFormat="1" applyFont="1" applyFill="1" applyBorder="1" applyAlignment="1">
      <alignment horizontal="center" vertical="center" wrapText="1"/>
    </xf>
    <xf numFmtId="206" fontId="54" fillId="35" borderId="28" xfId="49" applyNumberFormat="1" applyFont="1" applyFill="1" applyBorder="1" applyAlignment="1">
      <alignment horizontal="center" vertical="center" wrapText="1"/>
    </xf>
    <xf numFmtId="206" fontId="54" fillId="35" borderId="29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0"/>
          <a:ext cx="1162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15</xdr:col>
      <xdr:colOff>0</xdr:colOff>
      <xdr:row>35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9429750"/>
          <a:ext cx="1162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15</xdr:col>
      <xdr:colOff>0</xdr:colOff>
      <xdr:row>33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8877300"/>
          <a:ext cx="1162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15</xdr:col>
      <xdr:colOff>0</xdr:colOff>
      <xdr:row>45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12525375"/>
          <a:ext cx="1162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15</xdr:col>
      <xdr:colOff>0</xdr:colOff>
      <xdr:row>34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9153525"/>
          <a:ext cx="1162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15</xdr:col>
      <xdr:colOff>0</xdr:colOff>
      <xdr:row>39</xdr:row>
      <xdr:rowOff>28575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10534650"/>
          <a:ext cx="1162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T78"/>
  <sheetViews>
    <sheetView zoomScalePageLayoutView="0" workbookViewId="0" topLeftCell="A6">
      <pane ySplit="1" topLeftCell="A35" activePane="bottomLeft" state="frozen"/>
      <selection pane="topLeft" activeCell="A6" sqref="A6"/>
      <selection pane="bottomLeft" activeCell="A40" sqref="A40:P40"/>
    </sheetView>
  </sheetViews>
  <sheetFormatPr defaultColWidth="11.57421875" defaultRowHeight="15"/>
  <cols>
    <col min="1" max="1" width="6.421875" style="51" customWidth="1"/>
    <col min="2" max="2" width="32.28125" style="51" customWidth="1"/>
    <col min="3" max="3" width="18.421875" style="133" customWidth="1"/>
    <col min="4" max="4" width="12.8515625" style="133" customWidth="1"/>
    <col min="5" max="5" width="14.421875" style="133" customWidth="1"/>
    <col min="6" max="6" width="18.421875" style="133" customWidth="1"/>
    <col min="7" max="7" width="14.140625" style="133" customWidth="1"/>
    <col min="8" max="8" width="19.7109375" style="133" customWidth="1"/>
    <col min="9" max="9" width="16.421875" style="51" customWidth="1"/>
    <col min="10" max="10" width="20.00390625" style="133" customWidth="1"/>
    <col min="11" max="11" width="16.421875" style="51" customWidth="1"/>
    <col min="12" max="12" width="17.421875" style="51" customWidth="1"/>
    <col min="13" max="13" width="15.7109375" style="133" customWidth="1"/>
    <col min="14" max="14" width="14.421875" style="133" customWidth="1"/>
    <col min="15" max="15" width="17.421875" style="51" customWidth="1"/>
    <col min="16" max="16" width="16.00390625" style="53" customWidth="1"/>
    <col min="17" max="17" width="16.8515625" style="51" customWidth="1"/>
    <col min="18" max="18" width="18.421875" style="51" customWidth="1"/>
    <col min="19" max="19" width="16.00390625" style="67" customWidth="1"/>
    <col min="20" max="20" width="13.140625" style="52" bestFit="1" customWidth="1"/>
    <col min="21" max="16384" width="11.421875" style="51" customWidth="1"/>
  </cols>
  <sheetData>
    <row r="1" spans="1:18" ht="15.75" hidden="1">
      <c r="A1" s="146" t="s">
        <v>111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82"/>
      <c r="R1" s="82"/>
    </row>
    <row r="2" spans="1:18" ht="15.75" hidden="1">
      <c r="A2" s="146" t="s">
        <v>65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82"/>
      <c r="R2" s="82"/>
    </row>
    <row r="3" spans="1:18" ht="15.75" hidden="1">
      <c r="A3" s="146" t="s">
        <v>64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82"/>
      <c r="R3" s="82"/>
    </row>
    <row r="4" spans="1:18" ht="15.75" hidden="1">
      <c r="A4" s="146" t="s">
        <v>164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82"/>
      <c r="R4" s="82"/>
    </row>
    <row r="5" spans="1:18" ht="16.5" hidden="1" thickBot="1">
      <c r="A5" s="147" t="s">
        <v>110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83"/>
      <c r="R5" s="83"/>
    </row>
    <row r="6" spans="1:18" ht="78" customHeight="1" thickBot="1">
      <c r="A6" s="61" t="s">
        <v>63</v>
      </c>
      <c r="B6" s="100" t="s">
        <v>62</v>
      </c>
      <c r="C6" s="111" t="s">
        <v>128</v>
      </c>
      <c r="D6" s="111" t="s">
        <v>123</v>
      </c>
      <c r="E6" s="112" t="s">
        <v>143</v>
      </c>
      <c r="F6" s="112" t="s">
        <v>144</v>
      </c>
      <c r="G6" s="111" t="s">
        <v>145</v>
      </c>
      <c r="H6" s="111" t="s">
        <v>146</v>
      </c>
      <c r="I6" s="100" t="s">
        <v>147</v>
      </c>
      <c r="J6" s="111" t="s">
        <v>148</v>
      </c>
      <c r="K6" s="102" t="s">
        <v>149</v>
      </c>
      <c r="L6" s="100" t="s">
        <v>150</v>
      </c>
      <c r="M6" s="111" t="s">
        <v>151</v>
      </c>
      <c r="N6" s="111" t="s">
        <v>142</v>
      </c>
      <c r="O6" s="100" t="s">
        <v>152</v>
      </c>
      <c r="P6" s="104" t="s">
        <v>154</v>
      </c>
      <c r="Q6" s="84" t="s">
        <v>153</v>
      </c>
      <c r="R6" s="81" t="s">
        <v>155</v>
      </c>
    </row>
    <row r="7" spans="1:20" s="59" customFormat="1" ht="21.75" customHeight="1">
      <c r="A7" s="94"/>
      <c r="B7" s="91" t="s">
        <v>61</v>
      </c>
      <c r="C7" s="113">
        <f>SUM(C8+C19+C46+C65+C72)</f>
        <v>1939718</v>
      </c>
      <c r="D7" s="113">
        <f>D19+D46+D65+D72+D8</f>
        <v>0</v>
      </c>
      <c r="E7" s="113">
        <f>SUM(E8+E19+E46+E65+E72)</f>
        <v>-65487</v>
      </c>
      <c r="F7" s="113">
        <f>SUM(F8+F19+F46+F65+F72)</f>
        <v>1874231</v>
      </c>
      <c r="G7" s="113">
        <f>SUM(G8+G19+G46+G65+G72)</f>
        <v>449972</v>
      </c>
      <c r="H7" s="113">
        <f>+H19</f>
        <v>14442</v>
      </c>
      <c r="I7" s="29">
        <f>+I8+I19+I46+I65+I72</f>
        <v>89500</v>
      </c>
      <c r="J7" s="113">
        <f>J8+J19+J46-+J65-+J72</f>
        <v>372288.33</v>
      </c>
      <c r="K7" s="29">
        <f>G7-J7+H7</f>
        <v>92125.66999999998</v>
      </c>
      <c r="L7" s="29">
        <f>SUM(L8+L19+L46+L65+L72)</f>
        <v>1501942.6700000002</v>
      </c>
      <c r="M7" s="113">
        <f>SUM(M8+M19+M46+M65+M72)</f>
        <v>1424259</v>
      </c>
      <c r="N7" s="113">
        <f>+N8+N19+N46+N65+N72</f>
        <v>30973.05</v>
      </c>
      <c r="O7" s="29">
        <f>SUM(J7-N7)</f>
        <v>341315.28</v>
      </c>
      <c r="P7" s="64">
        <f>SUM(J7/G7*100%)</f>
        <v>0.8273588801080957</v>
      </c>
      <c r="Q7" s="68">
        <f>SUM(I7/F7*100%)</f>
        <v>0.04775291839693186</v>
      </c>
      <c r="R7" s="54">
        <f aca="true" t="shared" si="0" ref="R7:R19">SUM(J7/F7*100%)</f>
        <v>0.19863524293430213</v>
      </c>
      <c r="S7" s="60"/>
      <c r="T7" s="60"/>
    </row>
    <row r="8" spans="1:20" s="59" customFormat="1" ht="34.5" customHeight="1">
      <c r="A8" s="95"/>
      <c r="B8" s="92" t="s">
        <v>60</v>
      </c>
      <c r="C8" s="114">
        <f>SUM(C9:C18)</f>
        <v>1412126</v>
      </c>
      <c r="D8" s="114">
        <f aca="true" t="shared" si="1" ref="D8:O8">SUM(D9:D18)</f>
        <v>-10800</v>
      </c>
      <c r="E8" s="114">
        <f t="shared" si="1"/>
        <v>0</v>
      </c>
      <c r="F8" s="114">
        <f t="shared" si="1"/>
        <v>1401326</v>
      </c>
      <c r="G8" s="114">
        <f t="shared" si="1"/>
        <v>229782</v>
      </c>
      <c r="H8" s="114">
        <f t="shared" si="1"/>
        <v>0</v>
      </c>
      <c r="I8" s="30">
        <f t="shared" si="1"/>
        <v>89500</v>
      </c>
      <c r="J8" s="114">
        <f t="shared" si="1"/>
        <v>202592.17</v>
      </c>
      <c r="K8" s="30">
        <f t="shared" si="1"/>
        <v>27188.75</v>
      </c>
      <c r="L8" s="30">
        <f t="shared" si="1"/>
        <v>1198733.83</v>
      </c>
      <c r="M8" s="114">
        <f t="shared" si="1"/>
        <v>1171544</v>
      </c>
      <c r="N8" s="114">
        <f t="shared" si="1"/>
        <v>30973.05</v>
      </c>
      <c r="O8" s="30">
        <f t="shared" si="1"/>
        <v>169271.4</v>
      </c>
      <c r="P8" s="110">
        <f>SUM(J8/G8*100%)</f>
        <v>0.8816711926956855</v>
      </c>
      <c r="Q8" s="110">
        <f>SUM(I8/F8*100%)</f>
        <v>0.06386807923352596</v>
      </c>
      <c r="R8" s="110">
        <f t="shared" si="0"/>
        <v>0.14457176274471467</v>
      </c>
      <c r="S8" s="68"/>
      <c r="T8" s="60"/>
    </row>
    <row r="9" spans="1:18" ht="21.75" customHeight="1">
      <c r="A9" s="96" t="s">
        <v>59</v>
      </c>
      <c r="B9" s="93" t="s">
        <v>58</v>
      </c>
      <c r="C9" s="115">
        <v>1133760</v>
      </c>
      <c r="D9" s="116">
        <v>-7800</v>
      </c>
      <c r="E9" s="115"/>
      <c r="F9" s="115">
        <f>SUM(C9+D9)</f>
        <v>1125960</v>
      </c>
      <c r="G9" s="119">
        <f>(94480+94480-7800)</f>
        <v>181160</v>
      </c>
      <c r="H9" s="119">
        <v>0</v>
      </c>
      <c r="I9" s="24">
        <v>86500</v>
      </c>
      <c r="J9" s="119">
        <f>(94480+75820)</f>
        <v>170300</v>
      </c>
      <c r="K9" s="22">
        <f>SUM(G9-J9)</f>
        <v>10860</v>
      </c>
      <c r="L9" s="22">
        <f>SUM(F9-J9)</f>
        <v>955660</v>
      </c>
      <c r="M9" s="141">
        <f>SUM(F9-G9)</f>
        <v>944800</v>
      </c>
      <c r="N9" s="119">
        <v>15757.23</v>
      </c>
      <c r="O9" s="22">
        <f aca="true" t="shared" si="2" ref="O9:O15">SUM(J9-N9)</f>
        <v>154542.77</v>
      </c>
      <c r="P9" s="65">
        <f>SUM(J9/G9*100%)</f>
        <v>0.9400529918304261</v>
      </c>
      <c r="Q9" s="65">
        <f>SUM(I9/F9*100%)</f>
        <v>0.07682333297808093</v>
      </c>
      <c r="R9" s="65">
        <f t="shared" si="0"/>
        <v>0.15124871221002523</v>
      </c>
    </row>
    <row r="10" spans="1:18" ht="21.75" customHeight="1">
      <c r="A10" s="96" t="s">
        <v>57</v>
      </c>
      <c r="B10" s="93" t="s">
        <v>56</v>
      </c>
      <c r="C10" s="115">
        <v>54000</v>
      </c>
      <c r="D10" s="116">
        <v>-1500</v>
      </c>
      <c r="E10" s="115"/>
      <c r="F10" s="115">
        <f aca="true" t="shared" si="3" ref="F10:F25">SUM(C10+D10)</f>
        <v>52500</v>
      </c>
      <c r="G10" s="119">
        <f>(4500+4500-1500)</f>
        <v>7500</v>
      </c>
      <c r="H10" s="119">
        <v>0</v>
      </c>
      <c r="I10" s="24">
        <v>3000</v>
      </c>
      <c r="J10" s="138">
        <f>(4500+1500)</f>
        <v>6000</v>
      </c>
      <c r="K10" s="22">
        <f aca="true" t="shared" si="4" ref="K10:K15">G10-J10</f>
        <v>1500</v>
      </c>
      <c r="L10" s="22">
        <f aca="true" t="shared" si="5" ref="L10:L18">SUM(F10-J10)</f>
        <v>46500</v>
      </c>
      <c r="M10" s="141">
        <f aca="true" t="shared" si="6" ref="M10:M15">SUM(F10-G10)</f>
        <v>45000</v>
      </c>
      <c r="N10" s="138">
        <v>638</v>
      </c>
      <c r="O10" s="22">
        <f t="shared" si="2"/>
        <v>5362</v>
      </c>
      <c r="P10" s="65">
        <f>SUM(J10/G10*100%)</f>
        <v>0.8</v>
      </c>
      <c r="Q10" s="65">
        <f aca="true" t="shared" si="7" ref="Q10:Q15">SUM(I10/F10*100%)</f>
        <v>0.05714285714285714</v>
      </c>
      <c r="R10" s="65">
        <f t="shared" si="0"/>
        <v>0.11428571428571428</v>
      </c>
    </row>
    <row r="11" spans="1:18" ht="21.75" customHeight="1">
      <c r="A11" s="97" t="s">
        <v>55</v>
      </c>
      <c r="B11" s="93" t="s">
        <v>54</v>
      </c>
      <c r="C11" s="115">
        <v>31350</v>
      </c>
      <c r="D11" s="116">
        <v>-23</v>
      </c>
      <c r="E11" s="115"/>
      <c r="F11" s="115">
        <f t="shared" si="3"/>
        <v>31327</v>
      </c>
      <c r="G11" s="119">
        <f>(10404+23)</f>
        <v>10427</v>
      </c>
      <c r="H11" s="119">
        <v>0</v>
      </c>
      <c r="I11" s="103">
        <v>0</v>
      </c>
      <c r="J11" s="138">
        <f>(9366.63)</f>
        <v>9366.63</v>
      </c>
      <c r="K11" s="22">
        <f t="shared" si="4"/>
        <v>1060.3700000000008</v>
      </c>
      <c r="L11" s="22">
        <f t="shared" si="5"/>
        <v>21960.370000000003</v>
      </c>
      <c r="M11" s="141">
        <f t="shared" si="6"/>
        <v>20900</v>
      </c>
      <c r="N11" s="138">
        <v>0</v>
      </c>
      <c r="O11" s="22">
        <f t="shared" si="2"/>
        <v>9366.63</v>
      </c>
      <c r="P11" s="65">
        <f>SUM(J12/G12*100%)</f>
        <v>0.5018421173762946</v>
      </c>
      <c r="Q11" s="65">
        <f t="shared" si="7"/>
        <v>0</v>
      </c>
      <c r="R11" s="65">
        <f t="shared" si="0"/>
        <v>0.29899543524755</v>
      </c>
    </row>
    <row r="12" spans="1:18" ht="21.75" customHeight="1">
      <c r="A12" s="96" t="s">
        <v>53</v>
      </c>
      <c r="B12" s="93" t="s">
        <v>52</v>
      </c>
      <c r="C12" s="115">
        <v>153281</v>
      </c>
      <c r="D12" s="116">
        <v>-3823</v>
      </c>
      <c r="E12" s="115"/>
      <c r="F12" s="115">
        <f t="shared" si="3"/>
        <v>149458</v>
      </c>
      <c r="G12" s="119">
        <f>(12774+12774-3823)</f>
        <v>21725</v>
      </c>
      <c r="H12" s="119">
        <v>0</v>
      </c>
      <c r="I12" s="24">
        <v>0</v>
      </c>
      <c r="J12" s="138">
        <f>(10902.52)</f>
        <v>10902.52</v>
      </c>
      <c r="K12" s="22">
        <f t="shared" si="4"/>
        <v>10822.48</v>
      </c>
      <c r="L12" s="22">
        <f t="shared" si="5"/>
        <v>138555.48</v>
      </c>
      <c r="M12" s="141">
        <f t="shared" si="6"/>
        <v>127733</v>
      </c>
      <c r="N12" s="138">
        <v>10902.52</v>
      </c>
      <c r="O12" s="22">
        <f t="shared" si="2"/>
        <v>0</v>
      </c>
      <c r="P12" s="65">
        <f>SUM(J12/G12*100%)</f>
        <v>0.5018421173762946</v>
      </c>
      <c r="Q12" s="65">
        <f t="shared" si="7"/>
        <v>0</v>
      </c>
      <c r="R12" s="65">
        <f t="shared" si="0"/>
        <v>0.07294704866919134</v>
      </c>
    </row>
    <row r="13" spans="1:18" ht="21.75" customHeight="1">
      <c r="A13" s="96" t="s">
        <v>51</v>
      </c>
      <c r="B13" s="93" t="s">
        <v>50</v>
      </c>
      <c r="C13" s="115">
        <v>17546</v>
      </c>
      <c r="D13" s="116">
        <v>0</v>
      </c>
      <c r="E13" s="115"/>
      <c r="F13" s="115">
        <f t="shared" si="3"/>
        <v>17546</v>
      </c>
      <c r="G13" s="119">
        <f>(1463+1463)</f>
        <v>2926</v>
      </c>
      <c r="H13" s="119">
        <v>0</v>
      </c>
      <c r="I13" s="24">
        <v>0</v>
      </c>
      <c r="J13" s="138">
        <f>(1290)</f>
        <v>1290</v>
      </c>
      <c r="K13" s="22">
        <f t="shared" si="4"/>
        <v>1636</v>
      </c>
      <c r="L13" s="22">
        <f t="shared" si="5"/>
        <v>16256</v>
      </c>
      <c r="M13" s="141">
        <f t="shared" si="6"/>
        <v>14620</v>
      </c>
      <c r="N13" s="138">
        <v>1290</v>
      </c>
      <c r="O13" s="22">
        <f t="shared" si="2"/>
        <v>0</v>
      </c>
      <c r="P13" s="65">
        <f>SUM(J13/G13*100%)</f>
        <v>0.4408749145591251</v>
      </c>
      <c r="Q13" s="65">
        <f t="shared" si="7"/>
        <v>0</v>
      </c>
      <c r="R13" s="65">
        <f t="shared" si="0"/>
        <v>0.07352103043428701</v>
      </c>
    </row>
    <row r="14" spans="1:18" ht="21.75" customHeight="1">
      <c r="A14" s="96" t="s">
        <v>49</v>
      </c>
      <c r="B14" s="93" t="s">
        <v>48</v>
      </c>
      <c r="C14" s="115">
        <v>18680</v>
      </c>
      <c r="D14" s="116">
        <v>-262</v>
      </c>
      <c r="E14" s="115"/>
      <c r="F14" s="115">
        <f t="shared" si="3"/>
        <v>18418</v>
      </c>
      <c r="G14" s="119">
        <f>(1556+1556-262)</f>
        <v>2850</v>
      </c>
      <c r="H14" s="119">
        <v>0</v>
      </c>
      <c r="I14" s="24">
        <v>0</v>
      </c>
      <c r="J14" s="138">
        <f>(1869)</f>
        <v>1869</v>
      </c>
      <c r="K14" s="22">
        <f t="shared" si="4"/>
        <v>981</v>
      </c>
      <c r="L14" s="22">
        <f t="shared" si="5"/>
        <v>16549</v>
      </c>
      <c r="M14" s="141">
        <f t="shared" si="6"/>
        <v>15568</v>
      </c>
      <c r="N14" s="138">
        <v>1869</v>
      </c>
      <c r="O14" s="22">
        <f t="shared" si="2"/>
        <v>0</v>
      </c>
      <c r="P14" s="65">
        <f>SUM(J14/G14*100%)</f>
        <v>0.6557894736842105</v>
      </c>
      <c r="Q14" s="65">
        <f t="shared" si="7"/>
        <v>0</v>
      </c>
      <c r="R14" s="65">
        <f t="shared" si="0"/>
        <v>0.1014768161581062</v>
      </c>
    </row>
    <row r="15" spans="1:18" ht="21.75" customHeight="1">
      <c r="A15" s="96" t="s">
        <v>47</v>
      </c>
      <c r="B15" s="93" t="s">
        <v>46</v>
      </c>
      <c r="C15" s="115">
        <v>3509</v>
      </c>
      <c r="D15" s="116">
        <v>0</v>
      </c>
      <c r="E15" s="115"/>
      <c r="F15" s="115">
        <f t="shared" si="3"/>
        <v>3509</v>
      </c>
      <c r="G15" s="119">
        <f>(293+293)</f>
        <v>586</v>
      </c>
      <c r="H15" s="119">
        <v>0</v>
      </c>
      <c r="I15" s="24">
        <v>0</v>
      </c>
      <c r="J15" s="138">
        <f>(257.1)</f>
        <v>257.1</v>
      </c>
      <c r="K15" s="22">
        <f t="shared" si="4"/>
        <v>328.9</v>
      </c>
      <c r="L15" s="22">
        <f>SUM(F15-J15)</f>
        <v>3251.9</v>
      </c>
      <c r="M15" s="141">
        <f t="shared" si="6"/>
        <v>2923</v>
      </c>
      <c r="N15" s="138">
        <v>257.1</v>
      </c>
      <c r="O15" s="22">
        <f t="shared" si="2"/>
        <v>0</v>
      </c>
      <c r="P15" s="65">
        <f>SUM(J15/G15*100%)</f>
        <v>0.43873720136518773</v>
      </c>
      <c r="Q15" s="65">
        <f t="shared" si="7"/>
        <v>0</v>
      </c>
      <c r="R15" s="65">
        <f t="shared" si="0"/>
        <v>0.07326873753206042</v>
      </c>
    </row>
    <row r="16" spans="1:18" ht="21.75" customHeight="1">
      <c r="A16" s="97" t="s">
        <v>157</v>
      </c>
      <c r="B16" s="93" t="s">
        <v>160</v>
      </c>
      <c r="C16" s="115"/>
      <c r="D16" s="116">
        <v>2000</v>
      </c>
      <c r="E16" s="115"/>
      <c r="F16" s="115">
        <f t="shared" si="3"/>
        <v>2000</v>
      </c>
      <c r="G16" s="119">
        <f>(2000)</f>
        <v>2000</v>
      </c>
      <c r="H16" s="119"/>
      <c r="I16" s="24"/>
      <c r="J16" s="138">
        <f>(2000)</f>
        <v>2000</v>
      </c>
      <c r="K16" s="22"/>
      <c r="L16" s="22">
        <f t="shared" si="5"/>
        <v>0</v>
      </c>
      <c r="M16" s="141"/>
      <c r="N16" s="138"/>
      <c r="O16" s="22"/>
      <c r="P16" s="65"/>
      <c r="Q16" s="65"/>
      <c r="R16" s="65"/>
    </row>
    <row r="17" spans="1:18" ht="21.75" customHeight="1">
      <c r="A17" s="97" t="s">
        <v>158</v>
      </c>
      <c r="B17" s="93" t="s">
        <v>161</v>
      </c>
      <c r="C17" s="115"/>
      <c r="D17" s="116">
        <v>23</v>
      </c>
      <c r="E17" s="115"/>
      <c r="F17" s="115">
        <f t="shared" si="3"/>
        <v>23</v>
      </c>
      <c r="G17" s="119">
        <f>(23)</f>
        <v>23</v>
      </c>
      <c r="H17" s="119"/>
      <c r="I17" s="24"/>
      <c r="J17" s="138">
        <f>(22.92)</f>
        <v>22.92</v>
      </c>
      <c r="K17" s="22"/>
      <c r="L17" s="22">
        <f t="shared" si="5"/>
        <v>0.0799999999999983</v>
      </c>
      <c r="M17" s="141"/>
      <c r="N17" s="138"/>
      <c r="O17" s="22"/>
      <c r="P17" s="65"/>
      <c r="Q17" s="65"/>
      <c r="R17" s="65"/>
    </row>
    <row r="18" spans="1:18" ht="30" customHeight="1">
      <c r="A18" s="97" t="s">
        <v>159</v>
      </c>
      <c r="B18" s="107" t="s">
        <v>162</v>
      </c>
      <c r="C18" s="115"/>
      <c r="D18" s="116">
        <v>585</v>
      </c>
      <c r="E18" s="115"/>
      <c r="F18" s="115">
        <f t="shared" si="3"/>
        <v>585</v>
      </c>
      <c r="G18" s="119">
        <f>(585)</f>
        <v>585</v>
      </c>
      <c r="H18" s="119"/>
      <c r="I18" s="24"/>
      <c r="J18" s="138">
        <f>(584)</f>
        <v>584</v>
      </c>
      <c r="K18" s="22"/>
      <c r="L18" s="22">
        <f t="shared" si="5"/>
        <v>1</v>
      </c>
      <c r="M18" s="141"/>
      <c r="N18" s="138">
        <v>259.2</v>
      </c>
      <c r="O18" s="22"/>
      <c r="P18" s="65"/>
      <c r="Q18" s="65"/>
      <c r="R18" s="65"/>
    </row>
    <row r="19" spans="1:20" s="59" customFormat="1" ht="34.5" customHeight="1">
      <c r="A19" s="98"/>
      <c r="B19" s="92" t="s">
        <v>45</v>
      </c>
      <c r="C19" s="117">
        <f aca="true" t="shared" si="8" ref="C19:J19">SUM(C20:C39)</f>
        <v>472457</v>
      </c>
      <c r="D19" s="117">
        <f t="shared" si="8"/>
        <v>14510</v>
      </c>
      <c r="E19" s="117">
        <f t="shared" si="8"/>
        <v>-65487</v>
      </c>
      <c r="F19" s="117">
        <f t="shared" si="8"/>
        <v>421480</v>
      </c>
      <c r="G19" s="117">
        <f t="shared" si="8"/>
        <v>197561</v>
      </c>
      <c r="H19" s="117">
        <f t="shared" si="8"/>
        <v>14442</v>
      </c>
      <c r="I19" s="19">
        <f t="shared" si="8"/>
        <v>0</v>
      </c>
      <c r="J19" s="117">
        <f t="shared" si="8"/>
        <v>160894.86</v>
      </c>
      <c r="K19" s="19">
        <f>SUM(G19-J19)+H19</f>
        <v>51108.140000000014</v>
      </c>
      <c r="L19" s="19">
        <f>SUM(L20:L39)</f>
        <v>260585.14</v>
      </c>
      <c r="M19" s="117">
        <f aca="true" t="shared" si="9" ref="M19:M76">SUM(F19-G19)</f>
        <v>223919</v>
      </c>
      <c r="N19" s="117">
        <f>SUM(N20:N39)</f>
        <v>0</v>
      </c>
      <c r="O19" s="19">
        <f aca="true" t="shared" si="10" ref="O19:O39">SUM(J19-N19)</f>
        <v>160894.86</v>
      </c>
      <c r="P19" s="64" t="e">
        <f>SUM(P20:P244)</f>
        <v>#DIV/0!</v>
      </c>
      <c r="Q19" s="64">
        <f>SUM(I19/F19*100%)</f>
        <v>0</v>
      </c>
      <c r="R19" s="64">
        <f t="shared" si="0"/>
        <v>0.38173782860396693</v>
      </c>
      <c r="S19" s="68"/>
      <c r="T19" s="60"/>
    </row>
    <row r="20" spans="1:18" ht="21.75" customHeight="1">
      <c r="A20" s="97" t="s">
        <v>44</v>
      </c>
      <c r="B20" s="93" t="s">
        <v>43</v>
      </c>
      <c r="C20" s="115">
        <v>170013</v>
      </c>
      <c r="D20" s="118"/>
      <c r="E20" s="115"/>
      <c r="F20" s="115">
        <f t="shared" si="3"/>
        <v>170013</v>
      </c>
      <c r="G20" s="119">
        <v>110922</v>
      </c>
      <c r="H20" s="119">
        <v>14442</v>
      </c>
      <c r="I20" s="24">
        <v>0</v>
      </c>
      <c r="J20" s="119">
        <f>(109194)</f>
        <v>109194</v>
      </c>
      <c r="K20" s="22">
        <f>G20-J20+I20+H20</f>
        <v>16170</v>
      </c>
      <c r="L20" s="22">
        <f>SUM(F20-J20)</f>
        <v>60819</v>
      </c>
      <c r="M20" s="141">
        <f t="shared" si="9"/>
        <v>59091</v>
      </c>
      <c r="N20" s="119">
        <v>0</v>
      </c>
      <c r="O20" s="22">
        <f t="shared" si="10"/>
        <v>109194</v>
      </c>
      <c r="P20" s="65">
        <v>0</v>
      </c>
      <c r="Q20" s="65">
        <f aca="true" t="shared" si="11" ref="Q20:Q74">SUM(I20/F20*100%)</f>
        <v>0</v>
      </c>
      <c r="R20" s="65">
        <f aca="true" t="shared" si="12" ref="R20:R74">SUM(J20/F20*100%)</f>
        <v>0.6422685324063454</v>
      </c>
    </row>
    <row r="21" spans="1:18" ht="21.75" customHeight="1">
      <c r="A21" s="97" t="s">
        <v>102</v>
      </c>
      <c r="B21" s="93" t="s">
        <v>101</v>
      </c>
      <c r="C21" s="115">
        <v>0</v>
      </c>
      <c r="D21" s="118"/>
      <c r="E21" s="115"/>
      <c r="F21" s="115">
        <f t="shared" si="3"/>
        <v>0</v>
      </c>
      <c r="G21" s="119">
        <v>0</v>
      </c>
      <c r="H21" s="119">
        <v>0</v>
      </c>
      <c r="I21" s="24">
        <v>0</v>
      </c>
      <c r="J21" s="119">
        <v>0</v>
      </c>
      <c r="K21" s="22">
        <f aca="true" t="shared" si="13" ref="K21:K39">G21-J21+I21</f>
        <v>0</v>
      </c>
      <c r="L21" s="22">
        <f aca="true" t="shared" si="14" ref="L21:L64">SUM(F21-H21-J21)</f>
        <v>0</v>
      </c>
      <c r="M21" s="141">
        <f t="shared" si="9"/>
        <v>0</v>
      </c>
      <c r="N21" s="119">
        <v>0</v>
      </c>
      <c r="O21" s="22">
        <f t="shared" si="10"/>
        <v>0</v>
      </c>
      <c r="P21" s="65">
        <v>0</v>
      </c>
      <c r="Q21" s="65">
        <v>0</v>
      </c>
      <c r="R21" s="65">
        <v>0</v>
      </c>
    </row>
    <row r="22" spans="1:18" ht="21.75" customHeight="1">
      <c r="A22" s="97" t="s">
        <v>89</v>
      </c>
      <c r="B22" s="93" t="s">
        <v>42</v>
      </c>
      <c r="C22" s="115">
        <v>0</v>
      </c>
      <c r="D22" s="118">
        <v>3737</v>
      </c>
      <c r="E22" s="115"/>
      <c r="F22" s="115">
        <f t="shared" si="3"/>
        <v>3737</v>
      </c>
      <c r="G22" s="119">
        <v>3737</v>
      </c>
      <c r="H22" s="119">
        <v>0</v>
      </c>
      <c r="I22" s="24">
        <v>0</v>
      </c>
      <c r="J22" s="119">
        <f>(2311.2)</f>
        <v>2311.2</v>
      </c>
      <c r="K22" s="22">
        <f t="shared" si="13"/>
        <v>1425.8000000000002</v>
      </c>
      <c r="L22" s="22">
        <f t="shared" si="14"/>
        <v>1425.8000000000002</v>
      </c>
      <c r="M22" s="141">
        <f t="shared" si="9"/>
        <v>0</v>
      </c>
      <c r="N22" s="119">
        <v>0</v>
      </c>
      <c r="O22" s="22">
        <f>SUM(J22-N22)</f>
        <v>2311.2</v>
      </c>
      <c r="P22" s="65">
        <v>0</v>
      </c>
      <c r="Q22" s="65">
        <v>0</v>
      </c>
      <c r="R22" s="65">
        <v>0</v>
      </c>
    </row>
    <row r="23" spans="1:18" ht="21.75" customHeight="1">
      <c r="A23" s="97">
        <v>111</v>
      </c>
      <c r="B23" s="93" t="s">
        <v>103</v>
      </c>
      <c r="C23" s="115">
        <v>4530</v>
      </c>
      <c r="D23" s="118"/>
      <c r="E23" s="115"/>
      <c r="F23" s="115">
        <f t="shared" si="3"/>
        <v>4530</v>
      </c>
      <c r="G23" s="119">
        <f>(377.5+377.5)</f>
        <v>755</v>
      </c>
      <c r="H23" s="119">
        <v>0</v>
      </c>
      <c r="I23" s="24">
        <v>0</v>
      </c>
      <c r="J23" s="119">
        <f>(755)</f>
        <v>755</v>
      </c>
      <c r="K23" s="22">
        <f t="shared" si="13"/>
        <v>0</v>
      </c>
      <c r="L23" s="22">
        <f t="shared" si="14"/>
        <v>3775</v>
      </c>
      <c r="M23" s="141">
        <f t="shared" si="9"/>
        <v>3775</v>
      </c>
      <c r="N23" s="119">
        <v>0</v>
      </c>
      <c r="O23" s="22">
        <f t="shared" si="10"/>
        <v>755</v>
      </c>
      <c r="P23" s="65">
        <f>SUM(J23/G23*100%)</f>
        <v>1</v>
      </c>
      <c r="Q23" s="65">
        <f t="shared" si="11"/>
        <v>0</v>
      </c>
      <c r="R23" s="65">
        <f t="shared" si="12"/>
        <v>0.16666666666666666</v>
      </c>
    </row>
    <row r="24" spans="1:18" ht="21.75" customHeight="1">
      <c r="A24" s="97" t="s">
        <v>90</v>
      </c>
      <c r="B24" s="93" t="s">
        <v>41</v>
      </c>
      <c r="C24" s="115">
        <v>2020</v>
      </c>
      <c r="D24" s="118"/>
      <c r="E24" s="115"/>
      <c r="F24" s="115">
        <f t="shared" si="3"/>
        <v>2020</v>
      </c>
      <c r="G24" s="119">
        <f>(169+169)</f>
        <v>338</v>
      </c>
      <c r="H24" s="119">
        <v>0</v>
      </c>
      <c r="I24" s="24">
        <v>0</v>
      </c>
      <c r="J24" s="119">
        <f>(338)</f>
        <v>338</v>
      </c>
      <c r="K24" s="22">
        <f t="shared" si="13"/>
        <v>0</v>
      </c>
      <c r="L24" s="22">
        <f t="shared" si="14"/>
        <v>1682</v>
      </c>
      <c r="M24" s="141">
        <f t="shared" si="9"/>
        <v>1682</v>
      </c>
      <c r="N24" s="119">
        <v>0</v>
      </c>
      <c r="O24" s="22">
        <f t="shared" si="10"/>
        <v>338</v>
      </c>
      <c r="P24" s="65">
        <f>SUM(J24/G24*100%)</f>
        <v>1</v>
      </c>
      <c r="Q24" s="65">
        <f t="shared" si="11"/>
        <v>0</v>
      </c>
      <c r="R24" s="65">
        <f t="shared" si="12"/>
        <v>0.16732673267326734</v>
      </c>
    </row>
    <row r="25" spans="1:18" ht="21.75" customHeight="1">
      <c r="A25" s="97" t="s">
        <v>91</v>
      </c>
      <c r="B25" s="93" t="s">
        <v>40</v>
      </c>
      <c r="C25" s="115">
        <v>704</v>
      </c>
      <c r="D25" s="118"/>
      <c r="E25" s="115"/>
      <c r="F25" s="115">
        <f t="shared" si="3"/>
        <v>704</v>
      </c>
      <c r="G25" s="119">
        <v>704</v>
      </c>
      <c r="H25" s="119">
        <v>0</v>
      </c>
      <c r="I25" s="24">
        <v>0</v>
      </c>
      <c r="J25" s="119">
        <f>(704)</f>
        <v>704</v>
      </c>
      <c r="K25" s="22">
        <f t="shared" si="13"/>
        <v>0</v>
      </c>
      <c r="L25" s="22">
        <f t="shared" si="14"/>
        <v>0</v>
      </c>
      <c r="M25" s="141">
        <f t="shared" si="9"/>
        <v>0</v>
      </c>
      <c r="N25" s="119">
        <v>0</v>
      </c>
      <c r="O25" s="22">
        <f t="shared" si="10"/>
        <v>704</v>
      </c>
      <c r="P25" s="65">
        <f>SUM(J25/G25*100%)</f>
        <v>1</v>
      </c>
      <c r="Q25" s="65">
        <f t="shared" si="11"/>
        <v>0</v>
      </c>
      <c r="R25" s="65">
        <f t="shared" si="12"/>
        <v>1</v>
      </c>
    </row>
    <row r="26" spans="1:18" ht="21.75" customHeight="1">
      <c r="A26" s="108" t="s">
        <v>92</v>
      </c>
      <c r="B26" s="109" t="s">
        <v>39</v>
      </c>
      <c r="C26" s="115">
        <v>48360</v>
      </c>
      <c r="D26" s="118"/>
      <c r="E26" s="115">
        <v>-25000</v>
      </c>
      <c r="F26" s="115">
        <f>SUM(C26+E26)</f>
        <v>23360</v>
      </c>
      <c r="G26" s="119">
        <f>(2000+4030)</f>
        <v>6030</v>
      </c>
      <c r="H26" s="119">
        <v>0</v>
      </c>
      <c r="I26" s="24">
        <v>0</v>
      </c>
      <c r="J26" s="119">
        <f>(1227.9)</f>
        <v>1227.9</v>
      </c>
      <c r="K26" s="22">
        <f t="shared" si="13"/>
        <v>4802.1</v>
      </c>
      <c r="L26" s="22">
        <f t="shared" si="14"/>
        <v>22132.1</v>
      </c>
      <c r="M26" s="141">
        <f t="shared" si="9"/>
        <v>17330</v>
      </c>
      <c r="N26" s="119">
        <v>0</v>
      </c>
      <c r="O26" s="22">
        <f t="shared" si="10"/>
        <v>1227.9</v>
      </c>
      <c r="P26" s="65">
        <f>SUM(J26/G26*100%)</f>
        <v>0.20363184079601993</v>
      </c>
      <c r="Q26" s="65">
        <f t="shared" si="11"/>
        <v>0</v>
      </c>
      <c r="R26" s="65">
        <f t="shared" si="12"/>
        <v>0.05256421232876713</v>
      </c>
    </row>
    <row r="27" spans="1:18" ht="21.75" customHeight="1">
      <c r="A27" s="108" t="s">
        <v>93</v>
      </c>
      <c r="B27" s="109" t="s">
        <v>38</v>
      </c>
      <c r="C27" s="115">
        <v>40400</v>
      </c>
      <c r="D27" s="118"/>
      <c r="E27" s="115">
        <v>-25000</v>
      </c>
      <c r="F27" s="115">
        <f aca="true" t="shared" si="15" ref="F27:F33">SUM(C27+E27)</f>
        <v>15400</v>
      </c>
      <c r="G27" s="119">
        <v>3366</v>
      </c>
      <c r="H27" s="119">
        <v>0</v>
      </c>
      <c r="I27" s="24">
        <v>0</v>
      </c>
      <c r="J27" s="119">
        <f>(1603.86)</f>
        <v>1603.86</v>
      </c>
      <c r="K27" s="22">
        <f t="shared" si="13"/>
        <v>1762.14</v>
      </c>
      <c r="L27" s="22">
        <f t="shared" si="14"/>
        <v>13796.14</v>
      </c>
      <c r="M27" s="141">
        <f t="shared" si="9"/>
        <v>12034</v>
      </c>
      <c r="N27" s="119">
        <v>0</v>
      </c>
      <c r="O27" s="22">
        <f t="shared" si="10"/>
        <v>1603.86</v>
      </c>
      <c r="P27" s="65">
        <f>SUM(J27/G27*100%)</f>
        <v>0.47648841354723703</v>
      </c>
      <c r="Q27" s="65">
        <f t="shared" si="11"/>
        <v>0</v>
      </c>
      <c r="R27" s="65">
        <f t="shared" si="12"/>
        <v>0.10414675324675324</v>
      </c>
    </row>
    <row r="28" spans="1:18" ht="21.75" customHeight="1">
      <c r="A28" s="108" t="s">
        <v>94</v>
      </c>
      <c r="B28" s="109" t="s">
        <v>37</v>
      </c>
      <c r="C28" s="115">
        <v>29828</v>
      </c>
      <c r="D28" s="118"/>
      <c r="E28" s="115">
        <v>-6773</v>
      </c>
      <c r="F28" s="115">
        <f t="shared" si="15"/>
        <v>23055</v>
      </c>
      <c r="G28" s="119">
        <v>1093</v>
      </c>
      <c r="H28" s="119">
        <v>0</v>
      </c>
      <c r="I28" s="24">
        <v>0</v>
      </c>
      <c r="J28" s="119">
        <f>(1093)</f>
        <v>1093</v>
      </c>
      <c r="K28" s="22">
        <f t="shared" si="13"/>
        <v>0</v>
      </c>
      <c r="L28" s="22">
        <f t="shared" si="14"/>
        <v>21962</v>
      </c>
      <c r="M28" s="141">
        <f t="shared" si="9"/>
        <v>21962</v>
      </c>
      <c r="N28" s="119">
        <v>0</v>
      </c>
      <c r="O28" s="22">
        <f t="shared" si="10"/>
        <v>1093</v>
      </c>
      <c r="P28" s="65">
        <v>0</v>
      </c>
      <c r="Q28" s="65">
        <f t="shared" si="11"/>
        <v>0</v>
      </c>
      <c r="R28" s="65">
        <f t="shared" si="12"/>
        <v>0.04740837128605509</v>
      </c>
    </row>
    <row r="29" spans="1:18" ht="21.75" customHeight="1">
      <c r="A29" s="108">
        <v>117</v>
      </c>
      <c r="B29" s="109" t="s">
        <v>129</v>
      </c>
      <c r="C29" s="115">
        <v>12448</v>
      </c>
      <c r="D29" s="118"/>
      <c r="E29" s="115">
        <v>-8714</v>
      </c>
      <c r="F29" s="115">
        <f t="shared" si="15"/>
        <v>3734</v>
      </c>
      <c r="G29" s="119">
        <v>12448</v>
      </c>
      <c r="H29" s="119">
        <v>0</v>
      </c>
      <c r="I29" s="24">
        <v>0</v>
      </c>
      <c r="J29" s="119">
        <f>(1733.4)</f>
        <v>1733.4</v>
      </c>
      <c r="K29" s="22">
        <f t="shared" si="13"/>
        <v>10714.6</v>
      </c>
      <c r="L29" s="22">
        <f t="shared" si="14"/>
        <v>2000.6</v>
      </c>
      <c r="M29" s="141">
        <f t="shared" si="9"/>
        <v>-8714</v>
      </c>
      <c r="N29" s="119">
        <v>0</v>
      </c>
      <c r="O29" s="22">
        <f t="shared" si="10"/>
        <v>1733.4</v>
      </c>
      <c r="P29" s="65">
        <v>0</v>
      </c>
      <c r="Q29" s="65">
        <f t="shared" si="11"/>
        <v>0</v>
      </c>
      <c r="R29" s="65">
        <f t="shared" si="12"/>
        <v>0.4642206748794858</v>
      </c>
    </row>
    <row r="30" spans="1:18" ht="21.75" customHeight="1">
      <c r="A30" s="97" t="s">
        <v>36</v>
      </c>
      <c r="B30" s="93" t="s">
        <v>35</v>
      </c>
      <c r="C30" s="115">
        <v>42440</v>
      </c>
      <c r="D30" s="118"/>
      <c r="E30" s="115"/>
      <c r="F30" s="115">
        <f t="shared" si="15"/>
        <v>42440</v>
      </c>
      <c r="G30" s="119">
        <v>0</v>
      </c>
      <c r="H30" s="119">
        <v>0</v>
      </c>
      <c r="I30" s="24">
        <v>0</v>
      </c>
      <c r="J30" s="24">
        <v>0</v>
      </c>
      <c r="K30" s="22">
        <f t="shared" si="13"/>
        <v>0</v>
      </c>
      <c r="L30" s="22">
        <f t="shared" si="14"/>
        <v>42440</v>
      </c>
      <c r="M30" s="141">
        <f t="shared" si="9"/>
        <v>42440</v>
      </c>
      <c r="N30" s="119">
        <v>0</v>
      </c>
      <c r="O30" s="22">
        <f t="shared" si="10"/>
        <v>0</v>
      </c>
      <c r="P30" s="65">
        <v>0</v>
      </c>
      <c r="Q30" s="65">
        <f t="shared" si="11"/>
        <v>0</v>
      </c>
      <c r="R30" s="65">
        <f t="shared" si="12"/>
        <v>0</v>
      </c>
    </row>
    <row r="31" spans="1:18" ht="21.75" customHeight="1">
      <c r="A31" s="97" t="s">
        <v>95</v>
      </c>
      <c r="B31" s="93" t="s">
        <v>67</v>
      </c>
      <c r="C31" s="115">
        <v>20221</v>
      </c>
      <c r="D31" s="118"/>
      <c r="E31" s="115"/>
      <c r="F31" s="115">
        <f t="shared" si="15"/>
        <v>20221</v>
      </c>
      <c r="G31" s="119">
        <v>0</v>
      </c>
      <c r="H31" s="119">
        <v>0</v>
      </c>
      <c r="I31" s="24">
        <v>0</v>
      </c>
      <c r="J31" s="24">
        <v>0</v>
      </c>
      <c r="K31" s="22">
        <f t="shared" si="13"/>
        <v>0</v>
      </c>
      <c r="L31" s="22">
        <f t="shared" si="14"/>
        <v>20221</v>
      </c>
      <c r="M31" s="141">
        <f>SUM(F31-G31)</f>
        <v>20221</v>
      </c>
      <c r="N31" s="119">
        <v>0</v>
      </c>
      <c r="O31" s="22">
        <f t="shared" si="10"/>
        <v>0</v>
      </c>
      <c r="P31" s="65" t="e">
        <f>SUM(J31/G31*100%)</f>
        <v>#DIV/0!</v>
      </c>
      <c r="Q31" s="65">
        <f t="shared" si="11"/>
        <v>0</v>
      </c>
      <c r="R31" s="65">
        <f t="shared" si="12"/>
        <v>0</v>
      </c>
    </row>
    <row r="32" spans="1:18" ht="21.75" customHeight="1">
      <c r="A32" s="97" t="s">
        <v>96</v>
      </c>
      <c r="B32" s="93" t="s">
        <v>34</v>
      </c>
      <c r="C32" s="115">
        <v>31765</v>
      </c>
      <c r="D32" s="119"/>
      <c r="E32" s="115"/>
      <c r="F32" s="115">
        <f t="shared" si="15"/>
        <v>31765</v>
      </c>
      <c r="G32" s="119">
        <v>0</v>
      </c>
      <c r="H32" s="119">
        <v>0</v>
      </c>
      <c r="I32" s="24">
        <v>0</v>
      </c>
      <c r="J32" s="24">
        <v>0</v>
      </c>
      <c r="K32" s="22">
        <f t="shared" si="13"/>
        <v>0</v>
      </c>
      <c r="L32" s="22">
        <f t="shared" si="14"/>
        <v>31765</v>
      </c>
      <c r="M32" s="141">
        <f t="shared" si="9"/>
        <v>31765</v>
      </c>
      <c r="N32" s="119">
        <v>0</v>
      </c>
      <c r="O32" s="22">
        <f t="shared" si="10"/>
        <v>0</v>
      </c>
      <c r="P32" s="65">
        <v>0</v>
      </c>
      <c r="Q32" s="65">
        <f t="shared" si="11"/>
        <v>0</v>
      </c>
      <c r="R32" s="65">
        <f t="shared" si="12"/>
        <v>0</v>
      </c>
    </row>
    <row r="33" spans="1:18" ht="21.75" customHeight="1">
      <c r="A33" s="97" t="s">
        <v>97</v>
      </c>
      <c r="B33" s="93" t="s">
        <v>33</v>
      </c>
      <c r="C33" s="115">
        <v>13362</v>
      </c>
      <c r="D33" s="119"/>
      <c r="E33" s="115"/>
      <c r="F33" s="115">
        <f t="shared" si="15"/>
        <v>13362</v>
      </c>
      <c r="G33" s="119">
        <v>1000</v>
      </c>
      <c r="H33" s="119">
        <v>0</v>
      </c>
      <c r="I33" s="24">
        <v>0</v>
      </c>
      <c r="J33" s="24">
        <v>0</v>
      </c>
      <c r="K33" s="22">
        <f t="shared" si="13"/>
        <v>1000</v>
      </c>
      <c r="L33" s="22">
        <f t="shared" si="14"/>
        <v>13362</v>
      </c>
      <c r="M33" s="141">
        <f t="shared" si="9"/>
        <v>12362</v>
      </c>
      <c r="N33" s="119">
        <v>0</v>
      </c>
      <c r="O33" s="22">
        <f t="shared" si="10"/>
        <v>0</v>
      </c>
      <c r="P33" s="65">
        <v>0</v>
      </c>
      <c r="Q33" s="65">
        <f t="shared" si="11"/>
        <v>0</v>
      </c>
      <c r="R33" s="65">
        <f t="shared" si="12"/>
        <v>0</v>
      </c>
    </row>
    <row r="34" spans="1:18" ht="21.75" customHeight="1">
      <c r="A34" s="97" t="s">
        <v>98</v>
      </c>
      <c r="B34" s="93" t="s">
        <v>32</v>
      </c>
      <c r="C34" s="115">
        <v>8735</v>
      </c>
      <c r="D34" s="116">
        <v>-1774</v>
      </c>
      <c r="E34" s="115"/>
      <c r="F34" s="115">
        <f aca="true" t="shared" si="16" ref="F34:F39">SUM(C34+D34)</f>
        <v>6961</v>
      </c>
      <c r="G34" s="119">
        <v>2621</v>
      </c>
      <c r="H34" s="119">
        <v>0</v>
      </c>
      <c r="I34" s="24">
        <v>0</v>
      </c>
      <c r="J34" s="24">
        <v>0</v>
      </c>
      <c r="K34" s="22">
        <f t="shared" si="13"/>
        <v>2621</v>
      </c>
      <c r="L34" s="22">
        <f t="shared" si="14"/>
        <v>6961</v>
      </c>
      <c r="M34" s="141">
        <f t="shared" si="9"/>
        <v>4340</v>
      </c>
      <c r="N34" s="119">
        <v>0</v>
      </c>
      <c r="O34" s="24">
        <f t="shared" si="10"/>
        <v>0</v>
      </c>
      <c r="P34" s="65">
        <v>0</v>
      </c>
      <c r="Q34" s="65">
        <f t="shared" si="11"/>
        <v>0</v>
      </c>
      <c r="R34" s="65">
        <f t="shared" si="12"/>
        <v>0</v>
      </c>
    </row>
    <row r="35" spans="1:18" ht="21.75" customHeight="1">
      <c r="A35" s="97" t="s">
        <v>31</v>
      </c>
      <c r="B35" s="93" t="s">
        <v>68</v>
      </c>
      <c r="C35" s="115">
        <v>6000</v>
      </c>
      <c r="D35" s="116">
        <v>947</v>
      </c>
      <c r="E35" s="115"/>
      <c r="F35" s="115">
        <f t="shared" si="16"/>
        <v>6947</v>
      </c>
      <c r="G35" s="119">
        <v>6947</v>
      </c>
      <c r="H35" s="119">
        <v>0</v>
      </c>
      <c r="I35" s="24">
        <v>0</v>
      </c>
      <c r="J35" s="115">
        <f>(5134.5)</f>
        <v>5134.5</v>
      </c>
      <c r="K35" s="22">
        <f t="shared" si="13"/>
        <v>1812.5</v>
      </c>
      <c r="L35" s="22">
        <f t="shared" si="14"/>
        <v>1812.5</v>
      </c>
      <c r="M35" s="141">
        <f t="shared" si="9"/>
        <v>0</v>
      </c>
      <c r="N35" s="119">
        <v>0</v>
      </c>
      <c r="O35" s="24">
        <f t="shared" si="10"/>
        <v>5134.5</v>
      </c>
      <c r="P35" s="65">
        <v>0</v>
      </c>
      <c r="Q35" s="65">
        <f t="shared" si="11"/>
        <v>0</v>
      </c>
      <c r="R35" s="65">
        <f t="shared" si="12"/>
        <v>0.7390960126673384</v>
      </c>
    </row>
    <row r="36" spans="1:18" ht="21.75" customHeight="1">
      <c r="A36" s="97" t="s">
        <v>130</v>
      </c>
      <c r="B36" s="93" t="s">
        <v>131</v>
      </c>
      <c r="C36" s="115">
        <v>36000</v>
      </c>
      <c r="D36" s="116">
        <v>10800</v>
      </c>
      <c r="E36" s="115"/>
      <c r="F36" s="115">
        <f t="shared" si="16"/>
        <v>46800</v>
      </c>
      <c r="G36" s="119">
        <v>46800</v>
      </c>
      <c r="H36" s="119">
        <v>0</v>
      </c>
      <c r="I36" s="24">
        <v>0</v>
      </c>
      <c r="J36" s="115">
        <f>(36000)</f>
        <v>36000</v>
      </c>
      <c r="K36" s="22">
        <f t="shared" si="13"/>
        <v>10800</v>
      </c>
      <c r="L36" s="22">
        <f t="shared" si="14"/>
        <v>10800</v>
      </c>
      <c r="M36" s="141">
        <f t="shared" si="9"/>
        <v>0</v>
      </c>
      <c r="N36" s="119">
        <v>0</v>
      </c>
      <c r="O36" s="105">
        <f t="shared" si="10"/>
        <v>36000</v>
      </c>
      <c r="P36" s="65">
        <v>0</v>
      </c>
      <c r="Q36" s="65">
        <f t="shared" si="11"/>
        <v>0</v>
      </c>
      <c r="R36" s="65">
        <f t="shared" si="12"/>
        <v>0.7692307692307693</v>
      </c>
    </row>
    <row r="37" spans="1:18" ht="21.75" customHeight="1">
      <c r="A37" s="97" t="s">
        <v>99</v>
      </c>
      <c r="B37" s="93" t="s">
        <v>30</v>
      </c>
      <c r="C37" s="115">
        <v>3000</v>
      </c>
      <c r="D37" s="116">
        <v>0</v>
      </c>
      <c r="E37" s="115"/>
      <c r="F37" s="115">
        <f t="shared" si="16"/>
        <v>3000</v>
      </c>
      <c r="G37" s="119">
        <v>0</v>
      </c>
      <c r="H37" s="119">
        <v>0</v>
      </c>
      <c r="I37" s="24">
        <v>0</v>
      </c>
      <c r="J37" s="115"/>
      <c r="K37" s="22">
        <f t="shared" si="13"/>
        <v>0</v>
      </c>
      <c r="L37" s="22">
        <f t="shared" si="14"/>
        <v>3000</v>
      </c>
      <c r="M37" s="141">
        <f t="shared" si="9"/>
        <v>3000</v>
      </c>
      <c r="N37" s="119">
        <v>0</v>
      </c>
      <c r="O37" s="105">
        <f t="shared" si="10"/>
        <v>0</v>
      </c>
      <c r="P37" s="65">
        <v>0</v>
      </c>
      <c r="Q37" s="65">
        <f t="shared" si="11"/>
        <v>0</v>
      </c>
      <c r="R37" s="65">
        <f t="shared" si="12"/>
        <v>0</v>
      </c>
    </row>
    <row r="38" spans="1:20" ht="21.75" customHeight="1">
      <c r="A38" s="97" t="s">
        <v>100</v>
      </c>
      <c r="B38" s="93" t="s">
        <v>29</v>
      </c>
      <c r="C38" s="115">
        <v>2631</v>
      </c>
      <c r="D38" s="116">
        <v>0</v>
      </c>
      <c r="E38" s="115"/>
      <c r="F38" s="115">
        <f t="shared" si="16"/>
        <v>2631</v>
      </c>
      <c r="G38" s="119">
        <v>0</v>
      </c>
      <c r="H38" s="119">
        <v>0</v>
      </c>
      <c r="I38" s="24">
        <v>0</v>
      </c>
      <c r="J38" s="115"/>
      <c r="K38" s="22">
        <f>G38-J38+I38</f>
        <v>0</v>
      </c>
      <c r="L38" s="22">
        <f>SUM(F38-H38-J38)</f>
        <v>2631</v>
      </c>
      <c r="M38" s="141">
        <f>SUM(F38-G38)</f>
        <v>2631</v>
      </c>
      <c r="N38" s="119">
        <v>0</v>
      </c>
      <c r="O38" s="105">
        <f>SUM(J38-N38)</f>
        <v>0</v>
      </c>
      <c r="P38" s="89">
        <v>0</v>
      </c>
      <c r="Q38" s="89">
        <f>SUM(I38/F38*100%)</f>
        <v>0</v>
      </c>
      <c r="R38" s="89">
        <f>SUM(J38/F38*100%)</f>
        <v>0</v>
      </c>
      <c r="S38" s="85"/>
      <c r="T38" s="86"/>
    </row>
    <row r="39" spans="1:20" ht="21.75" customHeight="1" thickBot="1">
      <c r="A39" s="99">
        <v>197</v>
      </c>
      <c r="B39" s="101" t="s">
        <v>163</v>
      </c>
      <c r="C39" s="120"/>
      <c r="D39" s="121">
        <v>800</v>
      </c>
      <c r="E39" s="120"/>
      <c r="F39" s="134">
        <f t="shared" si="16"/>
        <v>800</v>
      </c>
      <c r="G39" s="137">
        <v>800</v>
      </c>
      <c r="H39" s="137">
        <v>0</v>
      </c>
      <c r="I39" s="75">
        <v>0</v>
      </c>
      <c r="J39" s="120">
        <f>(800)</f>
        <v>800</v>
      </c>
      <c r="K39" s="57">
        <f t="shared" si="13"/>
        <v>0</v>
      </c>
      <c r="L39" s="57">
        <f t="shared" si="14"/>
        <v>0</v>
      </c>
      <c r="M39" s="142">
        <f t="shared" si="9"/>
        <v>0</v>
      </c>
      <c r="N39" s="137">
        <v>0</v>
      </c>
      <c r="O39" s="106">
        <f t="shared" si="10"/>
        <v>800</v>
      </c>
      <c r="P39" s="90">
        <v>0</v>
      </c>
      <c r="Q39" s="90">
        <f t="shared" si="11"/>
        <v>0</v>
      </c>
      <c r="R39" s="90">
        <f t="shared" si="12"/>
        <v>1</v>
      </c>
      <c r="S39" s="87"/>
      <c r="T39" s="88"/>
    </row>
    <row r="40" spans="1:18" ht="15">
      <c r="A40" s="146" t="s">
        <v>111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82"/>
      <c r="R40" s="82"/>
    </row>
    <row r="41" spans="1:18" ht="15.75">
      <c r="A41" s="146" t="s">
        <v>65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82"/>
      <c r="R41" s="82"/>
    </row>
    <row r="42" spans="1:18" ht="15.75">
      <c r="A42" s="146" t="s">
        <v>64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82"/>
      <c r="R42" s="82"/>
    </row>
    <row r="43" spans="1:18" ht="15.75">
      <c r="A43" s="146" t="s">
        <v>141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82"/>
      <c r="R43" s="82"/>
    </row>
    <row r="44" spans="1:18" ht="16.5" thickBot="1">
      <c r="A44" s="147" t="s">
        <v>110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83"/>
      <c r="R44" s="83"/>
    </row>
    <row r="45" spans="1:18" ht="78" customHeight="1" thickBot="1">
      <c r="A45" s="78" t="s">
        <v>63</v>
      </c>
      <c r="B45" s="79" t="s">
        <v>62</v>
      </c>
      <c r="C45" s="122" t="s">
        <v>128</v>
      </c>
      <c r="D45" s="123" t="s">
        <v>123</v>
      </c>
      <c r="E45" s="124" t="s">
        <v>143</v>
      </c>
      <c r="F45" s="135" t="s">
        <v>144</v>
      </c>
      <c r="G45" s="122" t="s">
        <v>145</v>
      </c>
      <c r="H45" s="123" t="s">
        <v>146</v>
      </c>
      <c r="I45" s="78" t="s">
        <v>147</v>
      </c>
      <c r="J45" s="139" t="s">
        <v>148</v>
      </c>
      <c r="K45" s="61" t="s">
        <v>149</v>
      </c>
      <c r="L45" s="78" t="s">
        <v>150</v>
      </c>
      <c r="M45" s="123" t="s">
        <v>151</v>
      </c>
      <c r="N45" s="122" t="s">
        <v>142</v>
      </c>
      <c r="O45" s="61" t="s">
        <v>152</v>
      </c>
      <c r="P45" s="80" t="s">
        <v>154</v>
      </c>
      <c r="Q45" s="80" t="s">
        <v>153</v>
      </c>
      <c r="R45" s="81" t="s">
        <v>155</v>
      </c>
    </row>
    <row r="46" spans="1:20" s="59" customFormat="1" ht="22.5" customHeight="1">
      <c r="A46" s="28"/>
      <c r="B46" s="31" t="s">
        <v>28</v>
      </c>
      <c r="C46" s="125">
        <f>SUM(C47:C64)</f>
        <v>54867</v>
      </c>
      <c r="D46" s="125">
        <f>SUM(D47:D63)</f>
        <v>-3710</v>
      </c>
      <c r="E46" s="126">
        <f>SUM(E47:E64)</f>
        <v>0</v>
      </c>
      <c r="F46" s="125">
        <f>SUM(F47:F64)</f>
        <v>51157</v>
      </c>
      <c r="G46" s="126">
        <f>SUM(G47:G64)</f>
        <v>22629</v>
      </c>
      <c r="H46" s="126">
        <v>0</v>
      </c>
      <c r="I46" s="25">
        <f>SUM(I47:I64)</f>
        <v>0</v>
      </c>
      <c r="J46" s="125">
        <f>SUM(J47:J64)</f>
        <v>8801.3</v>
      </c>
      <c r="K46" s="25">
        <f>SUM(G46-J46)</f>
        <v>13827.7</v>
      </c>
      <c r="L46" s="25">
        <f>SUM(L47:L64)</f>
        <v>42355.7</v>
      </c>
      <c r="M46" s="143">
        <f t="shared" si="9"/>
        <v>28528</v>
      </c>
      <c r="N46" s="126">
        <f>SUM(N47:N64)</f>
        <v>0</v>
      </c>
      <c r="O46" s="25">
        <f>+J46-N46</f>
        <v>8801.3</v>
      </c>
      <c r="P46" s="64">
        <f>SUM(P47:P64)</f>
        <v>0</v>
      </c>
      <c r="Q46" s="64">
        <f>SUM(Q47:Q64)</f>
        <v>0</v>
      </c>
      <c r="R46" s="64">
        <f>SUM(R47:R64)</f>
        <v>1.9908077864080127</v>
      </c>
      <c r="S46" s="68"/>
      <c r="T46" s="60"/>
    </row>
    <row r="47" spans="1:18" ht="22.5" customHeight="1">
      <c r="A47" s="27" t="s">
        <v>27</v>
      </c>
      <c r="B47" s="18" t="s">
        <v>26</v>
      </c>
      <c r="C47" s="115">
        <v>732</v>
      </c>
      <c r="D47" s="119"/>
      <c r="E47" s="127"/>
      <c r="F47" s="115">
        <f aca="true" t="shared" si="17" ref="F47:F64">SUM(C47+E47)</f>
        <v>732</v>
      </c>
      <c r="G47" s="128">
        <v>732</v>
      </c>
      <c r="H47" s="128">
        <v>0</v>
      </c>
      <c r="I47" s="21">
        <v>0</v>
      </c>
      <c r="J47" s="115">
        <f>(693)</f>
        <v>693</v>
      </c>
      <c r="K47" s="20">
        <f aca="true" t="shared" si="18" ref="K47:K64">G47-J47-H47</f>
        <v>39</v>
      </c>
      <c r="L47" s="22">
        <f t="shared" si="14"/>
        <v>39</v>
      </c>
      <c r="M47" s="144">
        <f t="shared" si="9"/>
        <v>0</v>
      </c>
      <c r="N47" s="128">
        <v>0</v>
      </c>
      <c r="O47" s="21">
        <f aca="true" t="shared" si="19" ref="O47:O64">SUM(J47-N47)</f>
        <v>693</v>
      </c>
      <c r="P47" s="65">
        <v>0</v>
      </c>
      <c r="Q47" s="49">
        <f t="shared" si="11"/>
        <v>0</v>
      </c>
      <c r="R47" s="65">
        <f t="shared" si="12"/>
        <v>0.9467213114754098</v>
      </c>
    </row>
    <row r="48" spans="1:18" ht="22.5" customHeight="1">
      <c r="A48" s="27" t="s">
        <v>73</v>
      </c>
      <c r="B48" s="18" t="s">
        <v>25</v>
      </c>
      <c r="C48" s="115">
        <v>10000</v>
      </c>
      <c r="D48" s="119">
        <v>-4802</v>
      </c>
      <c r="E48" s="127"/>
      <c r="F48" s="115">
        <f>SUM(C48+D48)</f>
        <v>5198</v>
      </c>
      <c r="G48" s="128">
        <v>5198</v>
      </c>
      <c r="H48" s="128">
        <v>0</v>
      </c>
      <c r="I48" s="23">
        <v>0</v>
      </c>
      <c r="J48" s="115">
        <f>(3000)</f>
        <v>3000</v>
      </c>
      <c r="K48" s="20">
        <f t="shared" si="18"/>
        <v>2198</v>
      </c>
      <c r="L48" s="22">
        <f t="shared" si="14"/>
        <v>2198</v>
      </c>
      <c r="M48" s="144">
        <f t="shared" si="9"/>
        <v>0</v>
      </c>
      <c r="N48" s="128">
        <v>0</v>
      </c>
      <c r="O48" s="21">
        <f t="shared" si="19"/>
        <v>3000</v>
      </c>
      <c r="P48" s="65">
        <v>0</v>
      </c>
      <c r="Q48" s="49">
        <f t="shared" si="11"/>
        <v>0</v>
      </c>
      <c r="R48" s="65">
        <f t="shared" si="12"/>
        <v>0.5771450557906888</v>
      </c>
    </row>
    <row r="49" spans="1:18" ht="22.5" customHeight="1">
      <c r="A49" s="27" t="s">
        <v>74</v>
      </c>
      <c r="B49" s="18" t="s">
        <v>24</v>
      </c>
      <c r="C49" s="115">
        <v>12120</v>
      </c>
      <c r="D49" s="119"/>
      <c r="E49" s="127"/>
      <c r="F49" s="115">
        <f t="shared" si="17"/>
        <v>12120</v>
      </c>
      <c r="G49" s="128">
        <v>12120</v>
      </c>
      <c r="H49" s="128">
        <v>0</v>
      </c>
      <c r="I49" s="21">
        <v>0</v>
      </c>
      <c r="J49" s="115">
        <f>(3000)</f>
        <v>3000</v>
      </c>
      <c r="K49" s="20">
        <f t="shared" si="18"/>
        <v>9120</v>
      </c>
      <c r="L49" s="22">
        <f t="shared" si="14"/>
        <v>9120</v>
      </c>
      <c r="M49" s="144">
        <f t="shared" si="9"/>
        <v>0</v>
      </c>
      <c r="N49" s="128">
        <v>0</v>
      </c>
      <c r="O49" s="21">
        <f t="shared" si="19"/>
        <v>3000</v>
      </c>
      <c r="P49" s="65">
        <v>0</v>
      </c>
      <c r="Q49" s="49">
        <f t="shared" si="11"/>
        <v>0</v>
      </c>
      <c r="R49" s="65">
        <f t="shared" si="12"/>
        <v>0.24752475247524752</v>
      </c>
    </row>
    <row r="50" spans="1:18" ht="22.5" customHeight="1">
      <c r="A50" s="27" t="s">
        <v>75</v>
      </c>
      <c r="B50" s="18" t="s">
        <v>23</v>
      </c>
      <c r="C50" s="115">
        <v>2117</v>
      </c>
      <c r="D50" s="119"/>
      <c r="E50" s="127"/>
      <c r="F50" s="115">
        <f t="shared" si="17"/>
        <v>2117</v>
      </c>
      <c r="G50" s="128">
        <v>0</v>
      </c>
      <c r="H50" s="128">
        <v>0</v>
      </c>
      <c r="I50" s="21">
        <v>0</v>
      </c>
      <c r="J50" s="115"/>
      <c r="K50" s="20">
        <f t="shared" si="18"/>
        <v>0</v>
      </c>
      <c r="L50" s="22">
        <f t="shared" si="14"/>
        <v>2117</v>
      </c>
      <c r="M50" s="144">
        <f t="shared" si="9"/>
        <v>2117</v>
      </c>
      <c r="N50" s="128">
        <v>0</v>
      </c>
      <c r="O50" s="21">
        <f t="shared" si="19"/>
        <v>0</v>
      </c>
      <c r="P50" s="65">
        <v>0</v>
      </c>
      <c r="Q50" s="49">
        <f t="shared" si="11"/>
        <v>0</v>
      </c>
      <c r="R50" s="65">
        <f t="shared" si="12"/>
        <v>0</v>
      </c>
    </row>
    <row r="51" spans="1:18" ht="22.5" customHeight="1">
      <c r="A51" s="27" t="s">
        <v>76</v>
      </c>
      <c r="B51" s="18" t="s">
        <v>22</v>
      </c>
      <c r="C51" s="115">
        <v>5263</v>
      </c>
      <c r="D51" s="119"/>
      <c r="E51" s="127"/>
      <c r="F51" s="115">
        <f t="shared" si="17"/>
        <v>5263</v>
      </c>
      <c r="G51" s="128">
        <v>0</v>
      </c>
      <c r="H51" s="128">
        <v>0</v>
      </c>
      <c r="I51" s="21">
        <v>0</v>
      </c>
      <c r="J51" s="115"/>
      <c r="K51" s="20">
        <f t="shared" si="18"/>
        <v>0</v>
      </c>
      <c r="L51" s="22">
        <f t="shared" si="14"/>
        <v>5263</v>
      </c>
      <c r="M51" s="144">
        <f t="shared" si="9"/>
        <v>5263</v>
      </c>
      <c r="N51" s="128">
        <v>0</v>
      </c>
      <c r="O51" s="21">
        <f t="shared" si="19"/>
        <v>0</v>
      </c>
      <c r="P51" s="65">
        <v>0</v>
      </c>
      <c r="Q51" s="49">
        <f t="shared" si="11"/>
        <v>0</v>
      </c>
      <c r="R51" s="65">
        <f t="shared" si="12"/>
        <v>0</v>
      </c>
    </row>
    <row r="52" spans="1:18" ht="22.5" customHeight="1">
      <c r="A52" s="27" t="s">
        <v>77</v>
      </c>
      <c r="B52" s="18" t="s">
        <v>21</v>
      </c>
      <c r="C52" s="115">
        <v>2097</v>
      </c>
      <c r="D52" s="119"/>
      <c r="E52" s="127"/>
      <c r="F52" s="115">
        <f t="shared" si="17"/>
        <v>2097</v>
      </c>
      <c r="G52" s="128">
        <v>0</v>
      </c>
      <c r="H52" s="128">
        <v>0</v>
      </c>
      <c r="I52" s="21">
        <v>0</v>
      </c>
      <c r="J52" s="115"/>
      <c r="K52" s="20">
        <f t="shared" si="18"/>
        <v>0</v>
      </c>
      <c r="L52" s="22">
        <f t="shared" si="14"/>
        <v>2097</v>
      </c>
      <c r="M52" s="144">
        <f t="shared" si="9"/>
        <v>2097</v>
      </c>
      <c r="N52" s="128">
        <v>0</v>
      </c>
      <c r="O52" s="21">
        <f t="shared" si="19"/>
        <v>0</v>
      </c>
      <c r="P52" s="65">
        <v>0</v>
      </c>
      <c r="Q52" s="49">
        <f t="shared" si="11"/>
        <v>0</v>
      </c>
      <c r="R52" s="65">
        <f t="shared" si="12"/>
        <v>0</v>
      </c>
    </row>
    <row r="53" spans="1:18" ht="22.5" customHeight="1">
      <c r="A53" s="27" t="s">
        <v>78</v>
      </c>
      <c r="B53" s="18" t="s">
        <v>20</v>
      </c>
      <c r="C53" s="115">
        <v>280</v>
      </c>
      <c r="D53" s="119"/>
      <c r="E53" s="127"/>
      <c r="F53" s="115">
        <f t="shared" si="17"/>
        <v>280</v>
      </c>
      <c r="G53" s="128">
        <v>0</v>
      </c>
      <c r="H53" s="128">
        <v>0</v>
      </c>
      <c r="I53" s="21">
        <v>0</v>
      </c>
      <c r="J53" s="115"/>
      <c r="K53" s="20">
        <f t="shared" si="18"/>
        <v>0</v>
      </c>
      <c r="L53" s="22">
        <f t="shared" si="14"/>
        <v>280</v>
      </c>
      <c r="M53" s="144">
        <f t="shared" si="9"/>
        <v>280</v>
      </c>
      <c r="N53" s="128">
        <v>0</v>
      </c>
      <c r="O53" s="21">
        <f t="shared" si="19"/>
        <v>0</v>
      </c>
      <c r="P53" s="65">
        <v>0</v>
      </c>
      <c r="Q53" s="49">
        <f t="shared" si="11"/>
        <v>0</v>
      </c>
      <c r="R53" s="65">
        <f t="shared" si="12"/>
        <v>0</v>
      </c>
    </row>
    <row r="54" spans="1:18" ht="22.5" customHeight="1">
      <c r="A54" s="27" t="s">
        <v>79</v>
      </c>
      <c r="B54" s="18" t="s">
        <v>69</v>
      </c>
      <c r="C54" s="115">
        <v>1000</v>
      </c>
      <c r="D54" s="119"/>
      <c r="E54" s="127"/>
      <c r="F54" s="115">
        <f t="shared" si="17"/>
        <v>1000</v>
      </c>
      <c r="G54" s="128">
        <v>0</v>
      </c>
      <c r="H54" s="128">
        <v>0</v>
      </c>
      <c r="I54" s="21">
        <v>0</v>
      </c>
      <c r="J54" s="115"/>
      <c r="K54" s="20">
        <f t="shared" si="18"/>
        <v>0</v>
      </c>
      <c r="L54" s="22">
        <f t="shared" si="14"/>
        <v>1000</v>
      </c>
      <c r="M54" s="144">
        <f t="shared" si="9"/>
        <v>1000</v>
      </c>
      <c r="N54" s="128">
        <v>0</v>
      </c>
      <c r="O54" s="21">
        <f t="shared" si="19"/>
        <v>0</v>
      </c>
      <c r="P54" s="65">
        <v>0</v>
      </c>
      <c r="Q54" s="49">
        <f t="shared" si="11"/>
        <v>0</v>
      </c>
      <c r="R54" s="65">
        <f t="shared" si="12"/>
        <v>0</v>
      </c>
    </row>
    <row r="55" spans="1:18" ht="22.5" customHeight="1">
      <c r="A55" s="27" t="s">
        <v>80</v>
      </c>
      <c r="B55" s="18" t="s">
        <v>19</v>
      </c>
      <c r="C55" s="115">
        <v>1000</v>
      </c>
      <c r="D55" s="119"/>
      <c r="E55" s="127"/>
      <c r="F55" s="115">
        <f t="shared" si="17"/>
        <v>1000</v>
      </c>
      <c r="G55" s="128">
        <v>0</v>
      </c>
      <c r="H55" s="128">
        <v>0</v>
      </c>
      <c r="I55" s="21">
        <v>0</v>
      </c>
      <c r="J55" s="115"/>
      <c r="K55" s="20">
        <f t="shared" si="18"/>
        <v>0</v>
      </c>
      <c r="L55" s="22">
        <f t="shared" si="14"/>
        <v>1000</v>
      </c>
      <c r="M55" s="144">
        <f t="shared" si="9"/>
        <v>1000</v>
      </c>
      <c r="N55" s="128">
        <v>0</v>
      </c>
      <c r="O55" s="21">
        <f t="shared" si="19"/>
        <v>0</v>
      </c>
      <c r="P55" s="65">
        <v>0</v>
      </c>
      <c r="Q55" s="49">
        <f t="shared" si="11"/>
        <v>0</v>
      </c>
      <c r="R55" s="65">
        <f t="shared" si="12"/>
        <v>0</v>
      </c>
    </row>
    <row r="56" spans="1:18" ht="22.5" customHeight="1">
      <c r="A56" s="27">
        <v>259</v>
      </c>
      <c r="B56" s="18" t="s">
        <v>127</v>
      </c>
      <c r="C56" s="115">
        <v>1000</v>
      </c>
      <c r="D56" s="119">
        <v>300</v>
      </c>
      <c r="E56" s="127"/>
      <c r="F56" s="115">
        <f>SUM(C56+D56)</f>
        <v>1300</v>
      </c>
      <c r="G56" s="128">
        <v>300</v>
      </c>
      <c r="H56" s="128">
        <v>0</v>
      </c>
      <c r="I56" s="21">
        <v>0</v>
      </c>
      <c r="J56" s="115"/>
      <c r="K56" s="20">
        <f t="shared" si="18"/>
        <v>300</v>
      </c>
      <c r="L56" s="22">
        <f t="shared" si="14"/>
        <v>1300</v>
      </c>
      <c r="M56" s="144">
        <f t="shared" si="9"/>
        <v>1000</v>
      </c>
      <c r="N56" s="128">
        <v>0</v>
      </c>
      <c r="O56" s="21">
        <f t="shared" si="19"/>
        <v>0</v>
      </c>
      <c r="P56" s="65">
        <v>0</v>
      </c>
      <c r="Q56" s="49">
        <f t="shared" si="11"/>
        <v>0</v>
      </c>
      <c r="R56" s="65">
        <f t="shared" si="12"/>
        <v>0</v>
      </c>
    </row>
    <row r="57" spans="1:18" ht="22.5" customHeight="1">
      <c r="A57" s="27" t="s">
        <v>81</v>
      </c>
      <c r="B57" s="18" t="s">
        <v>18</v>
      </c>
      <c r="C57" s="115">
        <v>0</v>
      </c>
      <c r="D57" s="119">
        <v>792</v>
      </c>
      <c r="E57" s="127"/>
      <c r="F57" s="115">
        <f>SUM(C57+D57)</f>
        <v>792</v>
      </c>
      <c r="G57" s="128">
        <v>792</v>
      </c>
      <c r="H57" s="128">
        <v>0</v>
      </c>
      <c r="I57" s="21">
        <v>0</v>
      </c>
      <c r="J57" s="115">
        <f>(791.8)</f>
        <v>791.8</v>
      </c>
      <c r="K57" s="20">
        <f t="shared" si="18"/>
        <v>0.20000000000004547</v>
      </c>
      <c r="L57" s="22">
        <f t="shared" si="14"/>
        <v>0.20000000000004547</v>
      </c>
      <c r="M57" s="144">
        <f t="shared" si="9"/>
        <v>0</v>
      </c>
      <c r="N57" s="128">
        <v>0</v>
      </c>
      <c r="O57" s="21">
        <f t="shared" si="19"/>
        <v>791.8</v>
      </c>
      <c r="P57" s="65">
        <v>0</v>
      </c>
      <c r="Q57" s="49">
        <v>0</v>
      </c>
      <c r="R57" s="65">
        <v>0</v>
      </c>
    </row>
    <row r="58" spans="1:18" ht="22.5" customHeight="1">
      <c r="A58" s="27" t="s">
        <v>82</v>
      </c>
      <c r="B58" s="18" t="s">
        <v>17</v>
      </c>
      <c r="C58" s="115">
        <v>2501</v>
      </c>
      <c r="D58" s="119"/>
      <c r="E58" s="127"/>
      <c r="F58" s="115">
        <f t="shared" si="17"/>
        <v>2501</v>
      </c>
      <c r="G58" s="128">
        <v>0</v>
      </c>
      <c r="H58" s="128">
        <v>0</v>
      </c>
      <c r="I58" s="21">
        <v>0</v>
      </c>
      <c r="J58" s="115"/>
      <c r="K58" s="20">
        <f t="shared" si="18"/>
        <v>0</v>
      </c>
      <c r="L58" s="22">
        <f t="shared" si="14"/>
        <v>2501</v>
      </c>
      <c r="M58" s="144">
        <f t="shared" si="9"/>
        <v>2501</v>
      </c>
      <c r="N58" s="128">
        <v>0</v>
      </c>
      <c r="O58" s="21">
        <f t="shared" si="19"/>
        <v>0</v>
      </c>
      <c r="P58" s="65">
        <v>0</v>
      </c>
      <c r="Q58" s="49">
        <f t="shared" si="11"/>
        <v>0</v>
      </c>
      <c r="R58" s="65">
        <f t="shared" si="12"/>
        <v>0</v>
      </c>
    </row>
    <row r="59" spans="1:18" ht="22.5" customHeight="1">
      <c r="A59" s="27" t="s">
        <v>83</v>
      </c>
      <c r="B59" s="18" t="s">
        <v>16</v>
      </c>
      <c r="C59" s="115">
        <v>0</v>
      </c>
      <c r="D59" s="118"/>
      <c r="E59" s="127"/>
      <c r="F59" s="115">
        <f t="shared" si="17"/>
        <v>0</v>
      </c>
      <c r="G59" s="128">
        <v>0</v>
      </c>
      <c r="H59" s="128">
        <v>0</v>
      </c>
      <c r="I59" s="21">
        <v>0</v>
      </c>
      <c r="J59" s="115"/>
      <c r="K59" s="20">
        <f t="shared" si="18"/>
        <v>0</v>
      </c>
      <c r="L59" s="22">
        <f t="shared" si="14"/>
        <v>0</v>
      </c>
      <c r="M59" s="144">
        <f t="shared" si="9"/>
        <v>0</v>
      </c>
      <c r="N59" s="128">
        <v>0</v>
      </c>
      <c r="O59" s="21">
        <f t="shared" si="19"/>
        <v>0</v>
      </c>
      <c r="P59" s="65">
        <v>0</v>
      </c>
      <c r="Q59" s="49">
        <v>0</v>
      </c>
      <c r="R59" s="65">
        <v>0</v>
      </c>
    </row>
    <row r="60" spans="1:18" ht="22.5" customHeight="1">
      <c r="A60" s="27" t="s">
        <v>84</v>
      </c>
      <c r="B60" s="18" t="s">
        <v>15</v>
      </c>
      <c r="C60" s="115">
        <v>1000</v>
      </c>
      <c r="D60" s="119"/>
      <c r="E60" s="127"/>
      <c r="F60" s="115">
        <f t="shared" si="17"/>
        <v>1000</v>
      </c>
      <c r="G60" s="128">
        <v>250</v>
      </c>
      <c r="H60" s="128">
        <v>0</v>
      </c>
      <c r="I60" s="21">
        <v>0</v>
      </c>
      <c r="J60" s="115"/>
      <c r="K60" s="20">
        <f t="shared" si="18"/>
        <v>250</v>
      </c>
      <c r="L60" s="22">
        <f t="shared" si="14"/>
        <v>1000</v>
      </c>
      <c r="M60" s="144">
        <f t="shared" si="9"/>
        <v>750</v>
      </c>
      <c r="N60" s="128">
        <v>0</v>
      </c>
      <c r="O60" s="21">
        <f t="shared" si="19"/>
        <v>0</v>
      </c>
      <c r="P60" s="65">
        <v>0</v>
      </c>
      <c r="Q60" s="49">
        <f t="shared" si="11"/>
        <v>0</v>
      </c>
      <c r="R60" s="65">
        <f t="shared" si="12"/>
        <v>0</v>
      </c>
    </row>
    <row r="61" spans="1:18" ht="22.5" customHeight="1">
      <c r="A61" s="27" t="s">
        <v>85</v>
      </c>
      <c r="B61" s="18" t="s">
        <v>14</v>
      </c>
      <c r="C61" s="115">
        <v>237</v>
      </c>
      <c r="D61" s="119"/>
      <c r="E61" s="127"/>
      <c r="F61" s="115">
        <f t="shared" si="17"/>
        <v>237</v>
      </c>
      <c r="G61" s="128">
        <v>237</v>
      </c>
      <c r="H61" s="128">
        <v>0</v>
      </c>
      <c r="I61" s="21">
        <v>0</v>
      </c>
      <c r="J61" s="115"/>
      <c r="K61" s="20">
        <f t="shared" si="18"/>
        <v>237</v>
      </c>
      <c r="L61" s="22">
        <f t="shared" si="14"/>
        <v>237</v>
      </c>
      <c r="M61" s="144">
        <f t="shared" si="9"/>
        <v>0</v>
      </c>
      <c r="N61" s="128">
        <v>0</v>
      </c>
      <c r="O61" s="21">
        <f t="shared" si="19"/>
        <v>0</v>
      </c>
      <c r="P61" s="65">
        <v>0</v>
      </c>
      <c r="Q61" s="49">
        <f t="shared" si="11"/>
        <v>0</v>
      </c>
      <c r="R61" s="65">
        <f t="shared" si="12"/>
        <v>0</v>
      </c>
    </row>
    <row r="62" spans="1:18" ht="22.5" customHeight="1">
      <c r="A62" s="27" t="s">
        <v>86</v>
      </c>
      <c r="B62" s="18" t="s">
        <v>13</v>
      </c>
      <c r="C62" s="115">
        <v>6000</v>
      </c>
      <c r="D62" s="118"/>
      <c r="E62" s="127"/>
      <c r="F62" s="115">
        <f t="shared" si="17"/>
        <v>6000</v>
      </c>
      <c r="G62" s="128">
        <v>3000</v>
      </c>
      <c r="H62" s="128">
        <v>0</v>
      </c>
      <c r="I62" s="21">
        <v>0</v>
      </c>
      <c r="J62" s="115">
        <f>(1316.5)</f>
        <v>1316.5</v>
      </c>
      <c r="K62" s="20">
        <f t="shared" si="18"/>
        <v>1683.5</v>
      </c>
      <c r="L62" s="22">
        <f t="shared" si="14"/>
        <v>4683.5</v>
      </c>
      <c r="M62" s="144">
        <f t="shared" si="9"/>
        <v>3000</v>
      </c>
      <c r="N62" s="128">
        <v>0</v>
      </c>
      <c r="O62" s="21">
        <f t="shared" si="19"/>
        <v>1316.5</v>
      </c>
      <c r="P62" s="65">
        <v>0</v>
      </c>
      <c r="Q62" s="49">
        <f t="shared" si="11"/>
        <v>0</v>
      </c>
      <c r="R62" s="65">
        <f t="shared" si="12"/>
        <v>0.21941666666666668</v>
      </c>
    </row>
    <row r="63" spans="1:18" ht="22.5" customHeight="1">
      <c r="A63" s="27" t="s">
        <v>87</v>
      </c>
      <c r="B63" s="18" t="s">
        <v>12</v>
      </c>
      <c r="C63" s="115">
        <v>2500</v>
      </c>
      <c r="D63" s="119"/>
      <c r="E63" s="127"/>
      <c r="F63" s="115">
        <f t="shared" si="17"/>
        <v>2500</v>
      </c>
      <c r="G63" s="128">
        <v>0</v>
      </c>
      <c r="H63" s="128">
        <v>0</v>
      </c>
      <c r="I63" s="21">
        <v>0</v>
      </c>
      <c r="J63" s="115"/>
      <c r="K63" s="20">
        <f t="shared" si="18"/>
        <v>0</v>
      </c>
      <c r="L63" s="22">
        <f t="shared" si="14"/>
        <v>2500</v>
      </c>
      <c r="M63" s="144">
        <f t="shared" si="9"/>
        <v>2500</v>
      </c>
      <c r="N63" s="128">
        <v>0</v>
      </c>
      <c r="O63" s="21">
        <f t="shared" si="19"/>
        <v>0</v>
      </c>
      <c r="P63" s="65">
        <v>0</v>
      </c>
      <c r="Q63" s="49">
        <f t="shared" si="11"/>
        <v>0</v>
      </c>
      <c r="R63" s="65">
        <f t="shared" si="12"/>
        <v>0</v>
      </c>
    </row>
    <row r="64" spans="1:18" ht="22.5" customHeight="1">
      <c r="A64" s="27" t="s">
        <v>88</v>
      </c>
      <c r="B64" s="18" t="s">
        <v>11</v>
      </c>
      <c r="C64" s="115">
        <v>7020</v>
      </c>
      <c r="D64" s="119"/>
      <c r="E64" s="127"/>
      <c r="F64" s="115">
        <f t="shared" si="17"/>
        <v>7020</v>
      </c>
      <c r="G64" s="128">
        <v>0</v>
      </c>
      <c r="H64" s="128">
        <v>0</v>
      </c>
      <c r="I64" s="21">
        <v>0</v>
      </c>
      <c r="J64" s="115"/>
      <c r="K64" s="20">
        <f t="shared" si="18"/>
        <v>0</v>
      </c>
      <c r="L64" s="22">
        <f t="shared" si="14"/>
        <v>7020</v>
      </c>
      <c r="M64" s="144">
        <f t="shared" si="9"/>
        <v>7020</v>
      </c>
      <c r="N64" s="128">
        <v>0</v>
      </c>
      <c r="O64" s="21">
        <f t="shared" si="19"/>
        <v>0</v>
      </c>
      <c r="P64" s="65">
        <v>0</v>
      </c>
      <c r="Q64" s="49">
        <f t="shared" si="11"/>
        <v>0</v>
      </c>
      <c r="R64" s="65">
        <f t="shared" si="12"/>
        <v>0</v>
      </c>
    </row>
    <row r="65" spans="1:20" s="59" customFormat="1" ht="22.5" customHeight="1">
      <c r="A65" s="28"/>
      <c r="B65" s="31" t="s">
        <v>2</v>
      </c>
      <c r="C65" s="125">
        <f>SUM(C66:C71)</f>
        <v>0</v>
      </c>
      <c r="D65" s="125">
        <f>SUM(D66:D71)</f>
        <v>0</v>
      </c>
      <c r="E65" s="126">
        <f>SUM(E66:E71)</f>
        <v>0</v>
      </c>
      <c r="F65" s="125">
        <f>SUM(F66:F71)</f>
        <v>0</v>
      </c>
      <c r="G65" s="126">
        <f>SUM(G66:G71)</f>
        <v>0</v>
      </c>
      <c r="H65" s="126">
        <v>0</v>
      </c>
      <c r="I65" s="25">
        <f>SUM(I66:I71)</f>
        <v>0</v>
      </c>
      <c r="J65" s="125">
        <f>SUM(J66:J71)</f>
        <v>0</v>
      </c>
      <c r="K65" s="25">
        <f>SUM(G65-J65)</f>
        <v>0</v>
      </c>
      <c r="L65" s="25">
        <f>SUM(L66:L71)</f>
        <v>0</v>
      </c>
      <c r="M65" s="143">
        <f t="shared" si="9"/>
        <v>0</v>
      </c>
      <c r="N65" s="126">
        <f>SUM(N66:N71)</f>
        <v>0</v>
      </c>
      <c r="O65" s="25">
        <f>SUM(J65-N65)</f>
        <v>0</v>
      </c>
      <c r="P65" s="64">
        <f>SUM(P66:P71)</f>
        <v>0</v>
      </c>
      <c r="Q65" s="64">
        <f>SUM(Q66:Q71)</f>
        <v>0</v>
      </c>
      <c r="R65" s="64">
        <f>SUM(R66:R71)</f>
        <v>0</v>
      </c>
      <c r="S65" s="68"/>
      <c r="T65" s="60"/>
    </row>
    <row r="66" spans="1:18" ht="22.5" customHeight="1">
      <c r="A66" s="26" t="s">
        <v>10</v>
      </c>
      <c r="B66" s="32" t="s">
        <v>9</v>
      </c>
      <c r="C66" s="119">
        <v>0</v>
      </c>
      <c r="D66" s="119"/>
      <c r="E66" s="128"/>
      <c r="F66" s="115">
        <f aca="true" t="shared" si="20" ref="F66:F71">SUM(C66+E66)</f>
        <v>0</v>
      </c>
      <c r="G66" s="128">
        <v>0</v>
      </c>
      <c r="H66" s="128">
        <v>0</v>
      </c>
      <c r="I66" s="21">
        <v>0</v>
      </c>
      <c r="J66" s="119"/>
      <c r="K66" s="20">
        <f aca="true" t="shared" si="21" ref="K66:K71">G66-J66-H66</f>
        <v>0</v>
      </c>
      <c r="L66" s="22">
        <f aca="true" t="shared" si="22" ref="L66:L76">SUM(F66-H66-J66)</f>
        <v>0</v>
      </c>
      <c r="M66" s="144">
        <f t="shared" si="9"/>
        <v>0</v>
      </c>
      <c r="N66" s="128"/>
      <c r="O66" s="21">
        <f aca="true" t="shared" si="23" ref="O66:O75">SUM(J66-N66)</f>
        <v>0</v>
      </c>
      <c r="P66" s="65">
        <v>0</v>
      </c>
      <c r="Q66" s="49">
        <v>0</v>
      </c>
      <c r="R66" s="65">
        <v>0</v>
      </c>
    </row>
    <row r="67" spans="1:18" ht="22.5" customHeight="1">
      <c r="A67" s="26">
        <v>320</v>
      </c>
      <c r="B67" s="32" t="s">
        <v>8</v>
      </c>
      <c r="C67" s="115">
        <v>0</v>
      </c>
      <c r="D67" s="119"/>
      <c r="E67" s="127"/>
      <c r="F67" s="115">
        <f t="shared" si="20"/>
        <v>0</v>
      </c>
      <c r="G67" s="128">
        <v>0</v>
      </c>
      <c r="H67" s="128">
        <v>0</v>
      </c>
      <c r="I67" s="21">
        <v>0</v>
      </c>
      <c r="J67" s="115"/>
      <c r="K67" s="20">
        <f t="shared" si="21"/>
        <v>0</v>
      </c>
      <c r="L67" s="22">
        <f t="shared" si="22"/>
        <v>0</v>
      </c>
      <c r="M67" s="144">
        <f t="shared" si="9"/>
        <v>0</v>
      </c>
      <c r="N67" s="128">
        <v>0</v>
      </c>
      <c r="O67" s="21">
        <f t="shared" si="23"/>
        <v>0</v>
      </c>
      <c r="P67" s="65">
        <v>0</v>
      </c>
      <c r="Q67" s="49">
        <v>0</v>
      </c>
      <c r="R67" s="65">
        <v>0</v>
      </c>
    </row>
    <row r="68" spans="1:18" ht="22.5" customHeight="1">
      <c r="A68" s="26" t="s">
        <v>7</v>
      </c>
      <c r="B68" s="32" t="s">
        <v>6</v>
      </c>
      <c r="C68" s="115">
        <v>0</v>
      </c>
      <c r="D68" s="119"/>
      <c r="E68" s="127"/>
      <c r="F68" s="115">
        <f t="shared" si="20"/>
        <v>0</v>
      </c>
      <c r="G68" s="128">
        <v>0</v>
      </c>
      <c r="H68" s="128">
        <v>0</v>
      </c>
      <c r="I68" s="21">
        <v>0</v>
      </c>
      <c r="J68" s="115"/>
      <c r="K68" s="20">
        <f t="shared" si="21"/>
        <v>0</v>
      </c>
      <c r="L68" s="22">
        <f t="shared" si="22"/>
        <v>0</v>
      </c>
      <c r="M68" s="144">
        <f t="shared" si="9"/>
        <v>0</v>
      </c>
      <c r="N68" s="128">
        <v>0</v>
      </c>
      <c r="O68" s="21">
        <f t="shared" si="23"/>
        <v>0</v>
      </c>
      <c r="P68" s="65">
        <v>0</v>
      </c>
      <c r="Q68" s="49">
        <v>0</v>
      </c>
      <c r="R68" s="65">
        <v>0</v>
      </c>
    </row>
    <row r="69" spans="1:18" ht="22.5" customHeight="1">
      <c r="A69" s="26" t="s">
        <v>5</v>
      </c>
      <c r="B69" s="32" t="s">
        <v>4</v>
      </c>
      <c r="C69" s="119">
        <v>0</v>
      </c>
      <c r="D69" s="119"/>
      <c r="E69" s="128"/>
      <c r="F69" s="115">
        <f t="shared" si="20"/>
        <v>0</v>
      </c>
      <c r="G69" s="128">
        <v>0</v>
      </c>
      <c r="H69" s="128">
        <v>0</v>
      </c>
      <c r="I69" s="21">
        <v>0</v>
      </c>
      <c r="J69" s="119"/>
      <c r="K69" s="20">
        <f t="shared" si="21"/>
        <v>0</v>
      </c>
      <c r="L69" s="22">
        <f t="shared" si="22"/>
        <v>0</v>
      </c>
      <c r="M69" s="144">
        <f t="shared" si="9"/>
        <v>0</v>
      </c>
      <c r="N69" s="128">
        <v>0</v>
      </c>
      <c r="O69" s="21">
        <f t="shared" si="23"/>
        <v>0</v>
      </c>
      <c r="P69" s="65">
        <v>0</v>
      </c>
      <c r="Q69" s="49">
        <v>0</v>
      </c>
      <c r="R69" s="65">
        <v>0</v>
      </c>
    </row>
    <row r="70" spans="1:18" ht="22.5" customHeight="1">
      <c r="A70" s="26" t="s">
        <v>3</v>
      </c>
      <c r="B70" s="32" t="s">
        <v>2</v>
      </c>
      <c r="C70" s="119">
        <v>0</v>
      </c>
      <c r="D70" s="119"/>
      <c r="E70" s="128"/>
      <c r="F70" s="115">
        <f t="shared" si="20"/>
        <v>0</v>
      </c>
      <c r="G70" s="128">
        <v>0</v>
      </c>
      <c r="H70" s="128">
        <v>0</v>
      </c>
      <c r="I70" s="21">
        <v>0</v>
      </c>
      <c r="J70" s="119"/>
      <c r="K70" s="20">
        <f t="shared" si="21"/>
        <v>0</v>
      </c>
      <c r="L70" s="22">
        <f t="shared" si="22"/>
        <v>0</v>
      </c>
      <c r="M70" s="144">
        <f t="shared" si="9"/>
        <v>0</v>
      </c>
      <c r="N70" s="128">
        <v>0</v>
      </c>
      <c r="O70" s="21">
        <f t="shared" si="23"/>
        <v>0</v>
      </c>
      <c r="P70" s="65">
        <v>0</v>
      </c>
      <c r="Q70" s="49">
        <v>0</v>
      </c>
      <c r="R70" s="65">
        <v>0</v>
      </c>
    </row>
    <row r="71" spans="1:18" ht="22.5" customHeight="1">
      <c r="A71" s="26">
        <v>380</v>
      </c>
      <c r="B71" s="32" t="s">
        <v>1</v>
      </c>
      <c r="C71" s="115">
        <v>0</v>
      </c>
      <c r="D71" s="118"/>
      <c r="E71" s="127"/>
      <c r="F71" s="115">
        <f t="shared" si="20"/>
        <v>0</v>
      </c>
      <c r="G71" s="128">
        <v>0</v>
      </c>
      <c r="H71" s="128">
        <v>0</v>
      </c>
      <c r="I71" s="21">
        <v>0</v>
      </c>
      <c r="J71" s="115"/>
      <c r="K71" s="20">
        <f t="shared" si="21"/>
        <v>0</v>
      </c>
      <c r="L71" s="22">
        <f t="shared" si="22"/>
        <v>0</v>
      </c>
      <c r="M71" s="144">
        <f t="shared" si="9"/>
        <v>0</v>
      </c>
      <c r="N71" s="128">
        <v>0</v>
      </c>
      <c r="O71" s="21">
        <f t="shared" si="23"/>
        <v>0</v>
      </c>
      <c r="P71" s="65">
        <v>0</v>
      </c>
      <c r="Q71" s="49">
        <v>0</v>
      </c>
      <c r="R71" s="65">
        <v>0</v>
      </c>
    </row>
    <row r="72" spans="1:20" s="59" customFormat="1" ht="22.5" customHeight="1">
      <c r="A72" s="28"/>
      <c r="B72" s="31" t="s">
        <v>0</v>
      </c>
      <c r="C72" s="125">
        <f>SUM(C73:C76)</f>
        <v>268</v>
      </c>
      <c r="D72" s="125">
        <f>SUM(D73)</f>
        <v>0</v>
      </c>
      <c r="E72" s="126">
        <f>SUM(E73:E76)</f>
        <v>0</v>
      </c>
      <c r="F72" s="136">
        <f>SUM(C72-E72)</f>
        <v>268</v>
      </c>
      <c r="G72" s="126">
        <f>SUM(G73:G76)</f>
        <v>0</v>
      </c>
      <c r="H72" s="126">
        <v>0</v>
      </c>
      <c r="I72" s="25">
        <f>SUM(I73:I76)</f>
        <v>0</v>
      </c>
      <c r="J72" s="125">
        <f>SUM(J73:J76)</f>
        <v>0</v>
      </c>
      <c r="K72" s="25">
        <f>SUM(G72-J72)</f>
        <v>0</v>
      </c>
      <c r="L72" s="25">
        <f>SUM(L73:L76)</f>
        <v>268</v>
      </c>
      <c r="M72" s="143">
        <f t="shared" si="9"/>
        <v>268</v>
      </c>
      <c r="N72" s="126">
        <f>SUM(N73:N76)</f>
        <v>0</v>
      </c>
      <c r="O72" s="25">
        <f>SUM(J72-N72)</f>
        <v>0</v>
      </c>
      <c r="P72" s="64">
        <f>SUM(P73:P76)</f>
        <v>0</v>
      </c>
      <c r="Q72" s="64">
        <f>SUM(Q73:Q76)</f>
        <v>0</v>
      </c>
      <c r="R72" s="64">
        <f>SUM(R73:R76)</f>
        <v>0</v>
      </c>
      <c r="S72" s="68"/>
      <c r="T72" s="60"/>
    </row>
    <row r="73" spans="1:18" ht="22.5" customHeight="1">
      <c r="A73" s="27" t="s">
        <v>66</v>
      </c>
      <c r="B73" s="18" t="s">
        <v>70</v>
      </c>
      <c r="C73" s="115">
        <v>0</v>
      </c>
      <c r="D73" s="119"/>
      <c r="E73" s="127"/>
      <c r="F73" s="115">
        <f>SUM(C73+E73)</f>
        <v>0</v>
      </c>
      <c r="G73" s="128">
        <v>0</v>
      </c>
      <c r="H73" s="128">
        <v>0</v>
      </c>
      <c r="I73" s="21">
        <v>0</v>
      </c>
      <c r="J73" s="115"/>
      <c r="K73" s="20">
        <f>G73-J73-H73</f>
        <v>0</v>
      </c>
      <c r="L73" s="22">
        <f t="shared" si="22"/>
        <v>0</v>
      </c>
      <c r="M73" s="144">
        <f t="shared" si="9"/>
        <v>0</v>
      </c>
      <c r="N73" s="128">
        <v>0</v>
      </c>
      <c r="O73" s="21">
        <f t="shared" si="23"/>
        <v>0</v>
      </c>
      <c r="P73" s="65">
        <v>0</v>
      </c>
      <c r="Q73" s="49">
        <v>0</v>
      </c>
      <c r="R73" s="65">
        <v>0</v>
      </c>
    </row>
    <row r="74" spans="1:18" ht="22.5" customHeight="1">
      <c r="A74" s="27" t="s">
        <v>72</v>
      </c>
      <c r="B74" s="18" t="s">
        <v>71</v>
      </c>
      <c r="C74" s="115">
        <v>268</v>
      </c>
      <c r="D74" s="119"/>
      <c r="E74" s="127"/>
      <c r="F74" s="115">
        <f>SUM(C74+E74)</f>
        <v>268</v>
      </c>
      <c r="G74" s="128">
        <v>0</v>
      </c>
      <c r="H74" s="128">
        <v>0</v>
      </c>
      <c r="I74" s="21">
        <v>0</v>
      </c>
      <c r="J74" s="115"/>
      <c r="K74" s="20">
        <f>G74-J74-H74</f>
        <v>0</v>
      </c>
      <c r="L74" s="22">
        <f t="shared" si="22"/>
        <v>268</v>
      </c>
      <c r="M74" s="144">
        <f t="shared" si="9"/>
        <v>268</v>
      </c>
      <c r="N74" s="128">
        <v>0</v>
      </c>
      <c r="O74" s="21">
        <f t="shared" si="23"/>
        <v>0</v>
      </c>
      <c r="P74" s="65">
        <v>0</v>
      </c>
      <c r="Q74" s="49">
        <f t="shared" si="11"/>
        <v>0</v>
      </c>
      <c r="R74" s="65">
        <f t="shared" si="12"/>
        <v>0</v>
      </c>
    </row>
    <row r="75" spans="1:18" ht="22.5" customHeight="1">
      <c r="A75" s="27">
        <v>641</v>
      </c>
      <c r="B75" s="18" t="s">
        <v>108</v>
      </c>
      <c r="C75" s="129"/>
      <c r="D75" s="119"/>
      <c r="E75" s="130"/>
      <c r="F75" s="115">
        <f>SUM(C75+E75)</f>
        <v>0</v>
      </c>
      <c r="G75" s="128">
        <v>0</v>
      </c>
      <c r="H75" s="128">
        <v>0</v>
      </c>
      <c r="I75" s="21">
        <v>0</v>
      </c>
      <c r="J75" s="129"/>
      <c r="K75" s="20">
        <f>G75-J75-H75</f>
        <v>0</v>
      </c>
      <c r="L75" s="22">
        <f t="shared" si="22"/>
        <v>0</v>
      </c>
      <c r="M75" s="144">
        <f t="shared" si="9"/>
        <v>0</v>
      </c>
      <c r="N75" s="128">
        <v>0</v>
      </c>
      <c r="O75" s="21">
        <f t="shared" si="23"/>
        <v>0</v>
      </c>
      <c r="P75" s="65">
        <v>0</v>
      </c>
      <c r="Q75" s="49">
        <v>0</v>
      </c>
      <c r="R75" s="65">
        <v>0</v>
      </c>
    </row>
    <row r="76" spans="1:18" ht="22.5" customHeight="1" thickBot="1">
      <c r="A76" s="76">
        <v>669</v>
      </c>
      <c r="B76" s="77" t="s">
        <v>104</v>
      </c>
      <c r="C76" s="131">
        <v>0</v>
      </c>
      <c r="D76" s="131"/>
      <c r="E76" s="132"/>
      <c r="F76" s="120">
        <f>SUM(C76+E76)</f>
        <v>0</v>
      </c>
      <c r="G76" s="132">
        <v>0</v>
      </c>
      <c r="H76" s="132">
        <v>0</v>
      </c>
      <c r="I76" s="55">
        <v>0</v>
      </c>
      <c r="J76" s="131"/>
      <c r="K76" s="56">
        <f>G76-J76-H76</f>
        <v>0</v>
      </c>
      <c r="L76" s="57">
        <f t="shared" si="22"/>
        <v>0</v>
      </c>
      <c r="M76" s="145">
        <f t="shared" si="9"/>
        <v>0</v>
      </c>
      <c r="N76" s="140">
        <v>0</v>
      </c>
      <c r="O76" s="58">
        <f>SUM(J76-N76)</f>
        <v>0</v>
      </c>
      <c r="P76" s="50">
        <v>0</v>
      </c>
      <c r="Q76" s="50">
        <v>0</v>
      </c>
      <c r="R76" s="66">
        <v>0</v>
      </c>
    </row>
    <row r="77" spans="1:2" ht="22.5" customHeight="1">
      <c r="A77" s="62" t="s">
        <v>109</v>
      </c>
      <c r="B77" s="63"/>
    </row>
    <row r="78" ht="22.5" customHeight="1">
      <c r="A78" s="62"/>
    </row>
  </sheetData>
  <sheetProtection/>
  <mergeCells count="10">
    <mergeCell ref="A41:P41"/>
    <mergeCell ref="A42:P42"/>
    <mergeCell ref="A43:P43"/>
    <mergeCell ref="A44:P44"/>
    <mergeCell ref="A1:P1"/>
    <mergeCell ref="A2:P2"/>
    <mergeCell ref="A3:P3"/>
    <mergeCell ref="A4:P4"/>
    <mergeCell ref="A5:P5"/>
    <mergeCell ref="A40:P40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5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H12"/>
  <sheetViews>
    <sheetView zoomScalePageLayoutView="0" workbookViewId="0" topLeftCell="A1">
      <selection activeCell="C26" sqref="C26"/>
    </sheetView>
  </sheetViews>
  <sheetFormatPr defaultColWidth="11.57421875" defaultRowHeight="15"/>
  <cols>
    <col min="1" max="1" width="11.421875" style="1" customWidth="1"/>
    <col min="2" max="2" width="30.28125" style="1" customWidth="1"/>
    <col min="3" max="6" width="11.421875" style="1" customWidth="1"/>
    <col min="7" max="7" width="12.28125" style="1" customWidth="1"/>
    <col min="8" max="16384" width="11.421875" style="1" customWidth="1"/>
  </cols>
  <sheetData>
    <row r="1" spans="1:8" ht="15">
      <c r="A1" s="148" t="s">
        <v>111</v>
      </c>
      <c r="B1" s="148"/>
      <c r="C1" s="148"/>
      <c r="D1" s="148"/>
      <c r="E1" s="148"/>
      <c r="F1" s="148"/>
      <c r="G1" s="148"/>
      <c r="H1" s="148"/>
    </row>
    <row r="2" spans="1:8" ht="15">
      <c r="A2" s="149" t="s">
        <v>112</v>
      </c>
      <c r="B2" s="149"/>
      <c r="C2" s="149"/>
      <c r="D2" s="149"/>
      <c r="E2" s="149"/>
      <c r="F2" s="149"/>
      <c r="G2" s="149"/>
      <c r="H2" s="149"/>
    </row>
    <row r="3" spans="1:8" ht="15">
      <c r="A3" s="149" t="s">
        <v>124</v>
      </c>
      <c r="B3" s="149"/>
      <c r="C3" s="149"/>
      <c r="D3" s="149"/>
      <c r="E3" s="149"/>
      <c r="F3" s="149"/>
      <c r="G3" s="149"/>
      <c r="H3" s="149"/>
    </row>
    <row r="4" spans="1:8" ht="15">
      <c r="A4" s="150" t="s">
        <v>141</v>
      </c>
      <c r="B4" s="150"/>
      <c r="C4" s="150"/>
      <c r="D4" s="150"/>
      <c r="E4" s="150"/>
      <c r="F4" s="150"/>
      <c r="G4" s="150"/>
      <c r="H4" s="150"/>
    </row>
    <row r="5" spans="1:8" ht="15.75" thickBot="1">
      <c r="A5" s="149" t="s">
        <v>107</v>
      </c>
      <c r="B5" s="149"/>
      <c r="C5" s="149"/>
      <c r="D5" s="149"/>
      <c r="E5" s="149"/>
      <c r="F5" s="149"/>
      <c r="G5" s="149"/>
      <c r="H5" s="149"/>
    </row>
    <row r="6" spans="1:8" ht="30" thickBot="1">
      <c r="A6" s="2" t="s">
        <v>113</v>
      </c>
      <c r="B6" s="3" t="s">
        <v>114</v>
      </c>
      <c r="C6" s="4" t="s">
        <v>105</v>
      </c>
      <c r="D6" s="4" t="s">
        <v>106</v>
      </c>
      <c r="E6" s="4" t="s">
        <v>125</v>
      </c>
      <c r="F6" s="5" t="s">
        <v>126</v>
      </c>
      <c r="G6" s="5" t="s">
        <v>122</v>
      </c>
      <c r="H6" s="6" t="s">
        <v>121</v>
      </c>
    </row>
    <row r="7" spans="1:8" ht="18.75" customHeight="1">
      <c r="A7" s="7">
        <v>0</v>
      </c>
      <c r="B7" s="8" t="s">
        <v>115</v>
      </c>
      <c r="C7" s="9">
        <f>'EJECUCION 01'!C8</f>
        <v>1412126</v>
      </c>
      <c r="D7" s="9">
        <f>'EJECUCION 01'!F8</f>
        <v>1401326</v>
      </c>
      <c r="E7" s="9">
        <f>'EJECUCION 01'!G8</f>
        <v>229782</v>
      </c>
      <c r="F7" s="9">
        <f>'EJECUCION 01'!J8</f>
        <v>202592.17</v>
      </c>
      <c r="G7" s="13">
        <f>'EJECUCION 01'!R8</f>
        <v>0.14457176274471467</v>
      </c>
      <c r="H7" s="9">
        <f>'EJECUCION 01'!L8</f>
        <v>1198733.83</v>
      </c>
    </row>
    <row r="8" spans="1:8" ht="18.75" customHeight="1">
      <c r="A8" s="7">
        <v>1</v>
      </c>
      <c r="B8" s="8" t="s">
        <v>117</v>
      </c>
      <c r="C8" s="9">
        <f>'EJECUCION 01'!C19</f>
        <v>472457</v>
      </c>
      <c r="D8" s="9">
        <f>'EJECUCION 01'!F19</f>
        <v>421480</v>
      </c>
      <c r="E8" s="9">
        <f>'EJECUCION 01'!G19</f>
        <v>197561</v>
      </c>
      <c r="F8" s="9">
        <f>'EJECUCION 01'!J19</f>
        <v>160894.86</v>
      </c>
      <c r="G8" s="13">
        <f>'EJECUCION 01'!R19</f>
        <v>0.38173782860396693</v>
      </c>
      <c r="H8" s="9">
        <f>'EJECUCION 01'!L19</f>
        <v>260585.14</v>
      </c>
    </row>
    <row r="9" spans="1:8" ht="18.75" customHeight="1">
      <c r="A9" s="7">
        <v>2</v>
      </c>
      <c r="B9" s="8" t="s">
        <v>118</v>
      </c>
      <c r="C9" s="9">
        <f>'EJECUCION 01'!C46</f>
        <v>54867</v>
      </c>
      <c r="D9" s="9">
        <f>'EJECUCION 01'!F46</f>
        <v>51157</v>
      </c>
      <c r="E9" s="9">
        <f>'EJECUCION 01'!G46</f>
        <v>22629</v>
      </c>
      <c r="F9" s="9">
        <f>'EJECUCION 01'!J46</f>
        <v>8801.3</v>
      </c>
      <c r="G9" s="13">
        <f>'EJECUCION 01'!R46</f>
        <v>1.9908077864080127</v>
      </c>
      <c r="H9" s="9">
        <f>'EJECUCION 01'!L46</f>
        <v>42355.7</v>
      </c>
    </row>
    <row r="10" spans="1:8" ht="18.75" customHeight="1">
      <c r="A10" s="11">
        <v>3</v>
      </c>
      <c r="B10" s="8" t="s">
        <v>119</v>
      </c>
      <c r="C10" s="9">
        <f>'EJECUCION 01'!C65</f>
        <v>0</v>
      </c>
      <c r="D10" s="9">
        <f>'EJECUCION 01'!F65</f>
        <v>0</v>
      </c>
      <c r="E10" s="9">
        <f>'EJECUCION 01'!G65</f>
        <v>0</v>
      </c>
      <c r="F10" s="9">
        <f>'EJECUCION 01'!J65</f>
        <v>0</v>
      </c>
      <c r="G10" s="13">
        <f>'EJECUCION 01'!R65</f>
        <v>0</v>
      </c>
      <c r="H10" s="10">
        <f>'EJECUCION 01'!L65</f>
        <v>0</v>
      </c>
    </row>
    <row r="11" spans="1:8" ht="18.75" customHeight="1">
      <c r="A11" s="12">
        <v>6</v>
      </c>
      <c r="B11" s="8" t="s">
        <v>120</v>
      </c>
      <c r="C11" s="9">
        <f>'EJECUCION 01'!C72</f>
        <v>268</v>
      </c>
      <c r="D11" s="9">
        <f>'EJECUCION 01'!F72</f>
        <v>268</v>
      </c>
      <c r="E11" s="9">
        <f>'EJECUCION 01'!G72</f>
        <v>0</v>
      </c>
      <c r="F11" s="9">
        <f>'EJECUCION 01'!J72</f>
        <v>0</v>
      </c>
      <c r="G11" s="13">
        <f>'EJECUCION 01'!R72</f>
        <v>0</v>
      </c>
      <c r="H11" s="10">
        <f>'EJECUCION 01'!L72</f>
        <v>268</v>
      </c>
    </row>
    <row r="12" spans="1:8" ht="18.75" customHeight="1">
      <c r="A12" s="14"/>
      <c r="B12" s="15" t="s">
        <v>116</v>
      </c>
      <c r="C12" s="16">
        <f>SUM(C7:C11)</f>
        <v>1939718</v>
      </c>
      <c r="D12" s="16">
        <f>SUM(D7:D11)</f>
        <v>1874231</v>
      </c>
      <c r="E12" s="16">
        <f>SUM(E7:E11)</f>
        <v>449972</v>
      </c>
      <c r="F12" s="16">
        <f>SUM(F7:F11)</f>
        <v>372288.33</v>
      </c>
      <c r="G12" s="17">
        <f>'EJECUCION 01'!R7</f>
        <v>0.19863524293430213</v>
      </c>
      <c r="H12" s="16">
        <f>D12-F12</f>
        <v>1501942.67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landscape" paperSize="127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30" zoomScaleNormal="130" zoomScalePageLayoutView="0" workbookViewId="0" topLeftCell="A2">
      <selection activeCell="A4" sqref="A4:G4"/>
    </sheetView>
  </sheetViews>
  <sheetFormatPr defaultColWidth="11.421875" defaultRowHeight="15"/>
  <cols>
    <col min="2" max="2" width="11.421875" style="46" customWidth="1"/>
    <col min="5" max="5" width="13.7109375" style="0" customWidth="1"/>
    <col min="7" max="7" width="12.421875" style="0" customWidth="1"/>
  </cols>
  <sheetData>
    <row r="1" spans="1:7" ht="15">
      <c r="A1" s="151" t="s">
        <v>111</v>
      </c>
      <c r="B1" s="151"/>
      <c r="C1" s="151"/>
      <c r="D1" s="151"/>
      <c r="E1" s="151"/>
      <c r="F1" s="151"/>
      <c r="G1" s="151"/>
    </row>
    <row r="2" spans="1:7" ht="15">
      <c r="A2" s="152" t="s">
        <v>132</v>
      </c>
      <c r="B2" s="152"/>
      <c r="C2" s="152"/>
      <c r="D2" s="152"/>
      <c r="E2" s="152"/>
      <c r="F2" s="152"/>
      <c r="G2" s="152"/>
    </row>
    <row r="3" spans="1:7" ht="15">
      <c r="A3" s="152" t="s">
        <v>164</v>
      </c>
      <c r="B3" s="152"/>
      <c r="C3" s="152"/>
      <c r="D3" s="152"/>
      <c r="E3" s="152"/>
      <c r="F3" s="152"/>
      <c r="G3" s="152"/>
    </row>
    <row r="4" spans="1:7" ht="15.75" thickBot="1">
      <c r="A4" s="153" t="s">
        <v>107</v>
      </c>
      <c r="B4" s="153"/>
      <c r="C4" s="153"/>
      <c r="D4" s="153"/>
      <c r="E4" s="153"/>
      <c r="F4" s="153"/>
      <c r="G4" s="153"/>
    </row>
    <row r="5" spans="1:7" ht="15.75" thickBot="1">
      <c r="A5" s="154" t="s">
        <v>133</v>
      </c>
      <c r="B5" s="157" t="s">
        <v>134</v>
      </c>
      <c r="C5" s="158"/>
      <c r="D5" s="159"/>
      <c r="E5" s="160" t="s">
        <v>135</v>
      </c>
      <c r="F5" s="154" t="s">
        <v>136</v>
      </c>
      <c r="G5" s="154" t="s">
        <v>156</v>
      </c>
    </row>
    <row r="6" spans="1:7" ht="19.5" customHeight="1" thickBot="1">
      <c r="A6" s="155"/>
      <c r="B6" s="48" t="s">
        <v>137</v>
      </c>
      <c r="C6" s="33" t="s">
        <v>138</v>
      </c>
      <c r="D6" s="33" t="s">
        <v>139</v>
      </c>
      <c r="E6" s="161"/>
      <c r="F6" s="162"/>
      <c r="G6" s="155"/>
    </row>
    <row r="7" spans="1:7" ht="36" customHeight="1" thickBot="1">
      <c r="A7" s="156"/>
      <c r="B7" s="74">
        <v>1</v>
      </c>
      <c r="C7" s="34">
        <v>2</v>
      </c>
      <c r="D7" s="74">
        <v>3</v>
      </c>
      <c r="E7" s="34">
        <v>4</v>
      </c>
      <c r="F7" s="48" t="s">
        <v>140</v>
      </c>
      <c r="G7" s="155"/>
    </row>
    <row r="8" spans="1:7" ht="36">
      <c r="A8" s="70" t="s">
        <v>61</v>
      </c>
      <c r="B8" s="41">
        <f>SUM(B9+B17+B18+B19+B20)</f>
        <v>1939718</v>
      </c>
      <c r="C8" s="47">
        <f>SUM(C9+C17+C18+C19+C20)</f>
        <v>1874231</v>
      </c>
      <c r="D8" s="47">
        <f>SUM(D9+D17+D18+D19+D20)</f>
        <v>449972</v>
      </c>
      <c r="E8" s="41">
        <f>SUM(E9+E17+E18+E19+E20)</f>
        <v>372288.33</v>
      </c>
      <c r="F8" s="35">
        <f>SUM(C8-D8)</f>
        <v>1424259</v>
      </c>
      <c r="G8" s="36">
        <f>SUM(E8/C8)*100%</f>
        <v>0.19863524293430213</v>
      </c>
    </row>
    <row r="9" spans="1:7" ht="24">
      <c r="A9" s="71" t="s">
        <v>60</v>
      </c>
      <c r="B9" s="44">
        <f>'EJECUCION 01'!C8</f>
        <v>1412126</v>
      </c>
      <c r="C9" s="44">
        <f>'EJECUCION 01'!F8</f>
        <v>1401326</v>
      </c>
      <c r="D9" s="44">
        <f>'EJECUCION 01'!G8</f>
        <v>229782</v>
      </c>
      <c r="E9" s="44">
        <f>'EJECUCION 01'!J8</f>
        <v>202592.17</v>
      </c>
      <c r="F9" s="37">
        <f>SUM(F10:F16)</f>
        <v>1171544</v>
      </c>
      <c r="G9" s="38">
        <f aca="true" t="shared" si="0" ref="G9:G20">SUM(E9/C9)*100%</f>
        <v>0.14457176274471467</v>
      </c>
    </row>
    <row r="10" spans="1:7" ht="36">
      <c r="A10" s="72" t="s">
        <v>58</v>
      </c>
      <c r="B10" s="43">
        <f>'EJECUCION 01'!C9</f>
        <v>1133760</v>
      </c>
      <c r="C10" s="43">
        <f>'EJECUCION 01'!F9</f>
        <v>1125960</v>
      </c>
      <c r="D10" s="43">
        <f>'EJECUCION 01'!G9</f>
        <v>181160</v>
      </c>
      <c r="E10" s="43">
        <f>'EJECUCION 01'!J9</f>
        <v>170300</v>
      </c>
      <c r="F10" s="39">
        <f aca="true" t="shared" si="1" ref="F10:F15">SUM(C10-D10)</f>
        <v>944800</v>
      </c>
      <c r="G10" s="69">
        <f t="shared" si="0"/>
        <v>0.15124871221002523</v>
      </c>
    </row>
    <row r="11" spans="1:7" ht="36">
      <c r="A11" s="72" t="s">
        <v>56</v>
      </c>
      <c r="B11" s="43">
        <f>'EJECUCION 01'!C10</f>
        <v>54000</v>
      </c>
      <c r="C11" s="43">
        <f>'EJECUCION 01'!F10</f>
        <v>52500</v>
      </c>
      <c r="D11" s="43">
        <f>'EJECUCION 01'!G10</f>
        <v>7500</v>
      </c>
      <c r="E11" s="43">
        <f>'EJECUCION 01'!J10</f>
        <v>6000</v>
      </c>
      <c r="F11" s="39">
        <f t="shared" si="1"/>
        <v>45000</v>
      </c>
      <c r="G11" s="69">
        <f t="shared" si="0"/>
        <v>0.11428571428571428</v>
      </c>
    </row>
    <row r="12" spans="1:7" ht="15">
      <c r="A12" s="72" t="s">
        <v>54</v>
      </c>
      <c r="B12" s="43">
        <f>'EJECUCION 01'!C11</f>
        <v>31350</v>
      </c>
      <c r="C12" s="43">
        <f>'EJECUCION 01'!F11</f>
        <v>31327</v>
      </c>
      <c r="D12" s="43">
        <f>'EJECUCION 01'!G11</f>
        <v>10427</v>
      </c>
      <c r="E12" s="43">
        <f>'EJECUCION 01'!J11</f>
        <v>9366.63</v>
      </c>
      <c r="F12" s="39">
        <f t="shared" si="1"/>
        <v>20900</v>
      </c>
      <c r="G12" s="69">
        <f t="shared" si="0"/>
        <v>0.29899543524755</v>
      </c>
    </row>
    <row r="13" spans="1:7" ht="48">
      <c r="A13" s="72" t="s">
        <v>52</v>
      </c>
      <c r="B13" s="43">
        <f>'EJECUCION 01'!C12</f>
        <v>153281</v>
      </c>
      <c r="C13" s="43">
        <f>'EJECUCION 01'!F12</f>
        <v>149458</v>
      </c>
      <c r="D13" s="43">
        <f>'EJECUCION 01'!G12</f>
        <v>21725</v>
      </c>
      <c r="E13" s="43">
        <f>'EJECUCION 01'!J12</f>
        <v>10902.52</v>
      </c>
      <c r="F13" s="39">
        <f t="shared" si="1"/>
        <v>127733</v>
      </c>
      <c r="G13" s="69">
        <f t="shared" si="0"/>
        <v>0.07294704866919134</v>
      </c>
    </row>
    <row r="14" spans="1:7" ht="48">
      <c r="A14" s="72" t="s">
        <v>50</v>
      </c>
      <c r="B14" s="43">
        <f>'EJECUCION 01'!C13</f>
        <v>17546</v>
      </c>
      <c r="C14" s="43">
        <f>'EJECUCION 01'!F13</f>
        <v>17546</v>
      </c>
      <c r="D14" s="43">
        <f>'EJECUCION 01'!G13</f>
        <v>2926</v>
      </c>
      <c r="E14" s="43">
        <f>'EJECUCION 01'!J13</f>
        <v>1290</v>
      </c>
      <c r="F14" s="39">
        <f t="shared" si="1"/>
        <v>14620</v>
      </c>
      <c r="G14" s="69">
        <f t="shared" si="0"/>
        <v>0.07352103043428701</v>
      </c>
    </row>
    <row r="15" spans="1:7" ht="48">
      <c r="A15" s="72" t="s">
        <v>48</v>
      </c>
      <c r="B15" s="43">
        <f>'EJECUCION 01'!C14</f>
        <v>18680</v>
      </c>
      <c r="C15" s="43">
        <f>'EJECUCION 01'!F14</f>
        <v>18418</v>
      </c>
      <c r="D15" s="43">
        <f>'EJECUCION 01'!G14</f>
        <v>2850</v>
      </c>
      <c r="E15" s="43">
        <f>'EJECUCION 01'!J14</f>
        <v>1869</v>
      </c>
      <c r="F15" s="39">
        <f t="shared" si="1"/>
        <v>15568</v>
      </c>
      <c r="G15" s="69">
        <f t="shared" si="0"/>
        <v>0.1014768161581062</v>
      </c>
    </row>
    <row r="16" spans="1:7" ht="60">
      <c r="A16" s="72" t="s">
        <v>46</v>
      </c>
      <c r="B16" s="43">
        <f>'EJECUCION 01'!C15</f>
        <v>3509</v>
      </c>
      <c r="C16" s="43">
        <f>'EJECUCION 01'!F15</f>
        <v>3509</v>
      </c>
      <c r="D16" s="43">
        <f>'EJECUCION 01'!G15</f>
        <v>586</v>
      </c>
      <c r="E16" s="43">
        <f>'EJECUCION 01'!J15</f>
        <v>257.1</v>
      </c>
      <c r="F16" s="39">
        <f>SUM(C16-D16)</f>
        <v>2923</v>
      </c>
      <c r="G16" s="69">
        <f t="shared" si="0"/>
        <v>0.07326873753206042</v>
      </c>
    </row>
    <row r="17" spans="1:7" ht="24">
      <c r="A17" s="71" t="s">
        <v>45</v>
      </c>
      <c r="B17" s="44">
        <f>'EJECUCION 01'!C19</f>
        <v>472457</v>
      </c>
      <c r="C17" s="44">
        <f>'EJECUCION 01'!F19</f>
        <v>421480</v>
      </c>
      <c r="D17" s="44">
        <f>'EJECUCION 01'!G19</f>
        <v>197561</v>
      </c>
      <c r="E17" s="44">
        <f>'EJECUCION 01'!J19</f>
        <v>160894.86</v>
      </c>
      <c r="F17" s="37">
        <f>SUM(C17-D17)</f>
        <v>223919</v>
      </c>
      <c r="G17" s="38">
        <f t="shared" si="0"/>
        <v>0.38173782860396693</v>
      </c>
    </row>
    <row r="18" spans="1:7" ht="36">
      <c r="A18" s="71" t="s">
        <v>28</v>
      </c>
      <c r="B18" s="44">
        <f>'EJECUCION 01'!C46</f>
        <v>54867</v>
      </c>
      <c r="C18" s="44">
        <f>'EJECUCION 01'!F46</f>
        <v>51157</v>
      </c>
      <c r="D18" s="44">
        <f>'EJECUCION 01'!G46</f>
        <v>22629</v>
      </c>
      <c r="E18" s="44">
        <f>'EJECUCION 01'!J46</f>
        <v>8801.3</v>
      </c>
      <c r="F18" s="37">
        <f>SUM(C18-D18)</f>
        <v>28528</v>
      </c>
      <c r="G18" s="38">
        <f t="shared" si="0"/>
        <v>0.17204488144339972</v>
      </c>
    </row>
    <row r="19" spans="1:7" ht="36">
      <c r="A19" s="71" t="s">
        <v>2</v>
      </c>
      <c r="B19" s="44">
        <f>'EJECUCION 01'!C65</f>
        <v>0</v>
      </c>
      <c r="C19" s="44">
        <f>'EJECUCION 01'!F65</f>
        <v>0</v>
      </c>
      <c r="D19" s="44">
        <f>'EJECUCION 01'!G65</f>
        <v>0</v>
      </c>
      <c r="E19" s="44">
        <f>'EJECUCION 01'!J65</f>
        <v>0</v>
      </c>
      <c r="F19" s="37">
        <f>SUM(C19-D19)</f>
        <v>0</v>
      </c>
      <c r="G19" s="38">
        <v>0</v>
      </c>
    </row>
    <row r="20" spans="1:7" ht="48.75" thickBot="1">
      <c r="A20" s="73" t="s">
        <v>0</v>
      </c>
      <c r="B20" s="45">
        <f>'EJECUCION 01'!C72</f>
        <v>268</v>
      </c>
      <c r="C20" s="45">
        <f>'EJECUCION 01'!F72</f>
        <v>268</v>
      </c>
      <c r="D20" s="45">
        <f>'EJECUCION 01'!G72</f>
        <v>0</v>
      </c>
      <c r="E20" s="45">
        <f>'EJECUCION 01'!J72</f>
        <v>0</v>
      </c>
      <c r="F20" s="42">
        <f>SUM(C20-D20)</f>
        <v>268</v>
      </c>
      <c r="G20" s="40">
        <f t="shared" si="0"/>
        <v>0</v>
      </c>
    </row>
  </sheetData>
  <sheetProtection/>
  <mergeCells count="9">
    <mergeCell ref="A1:G1"/>
    <mergeCell ref="A2:G2"/>
    <mergeCell ref="A3:G3"/>
    <mergeCell ref="A4:G4"/>
    <mergeCell ref="A5:A7"/>
    <mergeCell ref="B5:D5"/>
    <mergeCell ref="E5:E6"/>
    <mergeCell ref="F5:F6"/>
    <mergeCell ref="G5:G7"/>
  </mergeCells>
  <printOptions/>
  <pageMargins left="0.7" right="0.7" top="0.75" bottom="0.75" header="0.3" footer="0.3"/>
  <pageSetup horizontalDpi="600" verticalDpi="600" orientation="portrait" paperSize="1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MLUNA</dc:creator>
  <cp:keywords/>
  <dc:description/>
  <cp:lastModifiedBy>Microsoft Office User</cp:lastModifiedBy>
  <cp:lastPrinted>2021-03-05T19:45:13Z</cp:lastPrinted>
  <dcterms:created xsi:type="dcterms:W3CDTF">2010-02-03T18:24:04Z</dcterms:created>
  <dcterms:modified xsi:type="dcterms:W3CDTF">2021-03-16T23:04:01Z</dcterms:modified>
  <cp:category/>
  <cp:version/>
  <cp:contentType/>
  <cp:contentStatus/>
</cp:coreProperties>
</file>