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llesteros\Documents\PRESUPUESTO\"/>
    </mc:Choice>
  </mc:AlternateContent>
  <bookViews>
    <workbookView xWindow="0" yWindow="0" windowWidth="24000" windowHeight="9255"/>
  </bookViews>
  <sheets>
    <sheet name="SEPTIEMBRE 2019" sheetId="1" r:id="rId1"/>
  </sheets>
  <definedNames>
    <definedName name="_xlnm.Print_Area" localSheetId="0">'SEPTIEMBRE 2019'!$A$1:$Q$113</definedName>
    <definedName name="_xlnm.Print_Titles" localSheetId="0">'SEPTIEMBRE 2019'!$1:$6</definedName>
  </definedNames>
  <calcPr calcId="162913"/>
</workbook>
</file>

<file path=xl/calcChain.xml><?xml version="1.0" encoding="utf-8"?>
<calcChain xmlns="http://schemas.openxmlformats.org/spreadsheetml/2006/main">
  <c r="J8" i="1" l="1"/>
  <c r="J7" i="1"/>
  <c r="I111" i="1"/>
  <c r="I108" i="1"/>
  <c r="I104" i="1"/>
  <c r="I70" i="1"/>
  <c r="I53" i="1"/>
  <c r="I47" i="1"/>
  <c r="I39" i="1"/>
  <c r="I38" i="1"/>
  <c r="I37" i="1"/>
  <c r="I35" i="1"/>
  <c r="I32" i="1"/>
  <c r="I31" i="1"/>
  <c r="J9" i="1"/>
  <c r="N9" i="1"/>
  <c r="K8" i="1" l="1"/>
  <c r="L7" i="1"/>
  <c r="J15" i="1"/>
  <c r="F8" i="1"/>
  <c r="J10" i="1"/>
  <c r="I9" i="1"/>
  <c r="I88" i="1"/>
  <c r="I90" i="1"/>
  <c r="I69" i="1"/>
  <c r="J40" i="1"/>
  <c r="K40" i="1"/>
  <c r="O40" i="1"/>
  <c r="Q40" i="1"/>
  <c r="I23" i="1"/>
  <c r="I16" i="1"/>
  <c r="I15" i="1"/>
  <c r="I14" i="1"/>
  <c r="I13" i="1"/>
  <c r="P40" i="1"/>
  <c r="I12" i="1"/>
  <c r="K11" i="1"/>
  <c r="J11" i="1"/>
  <c r="L10" i="1"/>
  <c r="I10" i="1"/>
  <c r="K10" i="1" s="1"/>
  <c r="I8" i="1" l="1"/>
  <c r="N112" i="1"/>
  <c r="L112" i="1"/>
  <c r="K112" i="1"/>
  <c r="J112" i="1"/>
  <c r="Q111" i="1"/>
  <c r="P111" i="1"/>
  <c r="O111" i="1"/>
  <c r="N111" i="1"/>
  <c r="L111" i="1"/>
  <c r="K111" i="1"/>
  <c r="J111" i="1"/>
  <c r="Q110" i="1"/>
  <c r="P110" i="1"/>
  <c r="O110" i="1"/>
  <c r="N110" i="1"/>
  <c r="L110" i="1"/>
  <c r="K110" i="1"/>
  <c r="J110" i="1"/>
  <c r="Q109" i="1"/>
  <c r="P109" i="1"/>
  <c r="O109" i="1"/>
  <c r="N109" i="1"/>
  <c r="L109" i="1"/>
  <c r="K109" i="1"/>
  <c r="J109" i="1"/>
  <c r="Q108" i="1"/>
  <c r="P108" i="1"/>
  <c r="O108" i="1"/>
  <c r="N108" i="1"/>
  <c r="L108" i="1"/>
  <c r="K108" i="1"/>
  <c r="J108" i="1"/>
  <c r="M107" i="1"/>
  <c r="I107" i="1"/>
  <c r="H107" i="1"/>
  <c r="F107" i="1"/>
  <c r="E107" i="1"/>
  <c r="L107" i="1" s="1"/>
  <c r="D107" i="1"/>
  <c r="C107" i="1"/>
  <c r="N106" i="1"/>
  <c r="L106" i="1"/>
  <c r="K106" i="1"/>
  <c r="J106" i="1"/>
  <c r="Q105" i="1"/>
  <c r="P105" i="1"/>
  <c r="O105" i="1"/>
  <c r="N105" i="1"/>
  <c r="L105" i="1"/>
  <c r="K105" i="1"/>
  <c r="J105" i="1"/>
  <c r="Q104" i="1"/>
  <c r="P104" i="1"/>
  <c r="O104" i="1"/>
  <c r="N104" i="1"/>
  <c r="L104" i="1"/>
  <c r="K104" i="1"/>
  <c r="J104" i="1"/>
  <c r="Q103" i="1"/>
  <c r="P103" i="1"/>
  <c r="O103" i="1"/>
  <c r="N103" i="1"/>
  <c r="L103" i="1"/>
  <c r="K103" i="1"/>
  <c r="J103" i="1"/>
  <c r="Q102" i="1"/>
  <c r="P102" i="1"/>
  <c r="O102" i="1"/>
  <c r="N102" i="1"/>
  <c r="L102" i="1"/>
  <c r="K102" i="1"/>
  <c r="J102" i="1"/>
  <c r="Q101" i="1"/>
  <c r="P101" i="1"/>
  <c r="O101" i="1"/>
  <c r="N101" i="1"/>
  <c r="L101" i="1"/>
  <c r="K101" i="1"/>
  <c r="J101" i="1"/>
  <c r="N100" i="1"/>
  <c r="L100" i="1"/>
  <c r="K100" i="1"/>
  <c r="J100" i="1"/>
  <c r="N99" i="1"/>
  <c r="L99" i="1"/>
  <c r="K99" i="1"/>
  <c r="J99" i="1"/>
  <c r="N98" i="1"/>
  <c r="L98" i="1"/>
  <c r="K98" i="1"/>
  <c r="J98" i="1"/>
  <c r="M97" i="1"/>
  <c r="I97" i="1"/>
  <c r="H97" i="1"/>
  <c r="P97" i="1" s="1"/>
  <c r="F97" i="1"/>
  <c r="E97" i="1"/>
  <c r="D97" i="1"/>
  <c r="C97" i="1"/>
  <c r="N96" i="1"/>
  <c r="L96" i="1"/>
  <c r="K96" i="1"/>
  <c r="J96" i="1"/>
  <c r="N95" i="1"/>
  <c r="L95" i="1"/>
  <c r="K95" i="1"/>
  <c r="J95" i="1"/>
  <c r="N94" i="1"/>
  <c r="L94" i="1"/>
  <c r="K94" i="1"/>
  <c r="J94" i="1"/>
  <c r="N93" i="1"/>
  <c r="L93" i="1"/>
  <c r="K93" i="1"/>
  <c r="J93" i="1"/>
  <c r="N92" i="1"/>
  <c r="L92" i="1"/>
  <c r="K92" i="1"/>
  <c r="J92" i="1"/>
  <c r="N91" i="1"/>
  <c r="L91" i="1"/>
  <c r="K91" i="1"/>
  <c r="J91" i="1"/>
  <c r="Q90" i="1"/>
  <c r="P90" i="1"/>
  <c r="O90" i="1"/>
  <c r="N90" i="1"/>
  <c r="L90" i="1"/>
  <c r="K90" i="1"/>
  <c r="J90" i="1"/>
  <c r="Q89" i="1"/>
  <c r="P89" i="1"/>
  <c r="O89" i="1"/>
  <c r="N89" i="1"/>
  <c r="L89" i="1"/>
  <c r="K89" i="1"/>
  <c r="J89" i="1"/>
  <c r="Q88" i="1"/>
  <c r="P88" i="1"/>
  <c r="O88" i="1"/>
  <c r="N88" i="1"/>
  <c r="L88" i="1"/>
  <c r="K88" i="1"/>
  <c r="J88" i="1"/>
  <c r="Q87" i="1"/>
  <c r="P87" i="1"/>
  <c r="O87" i="1"/>
  <c r="N87" i="1"/>
  <c r="L87" i="1"/>
  <c r="K87" i="1"/>
  <c r="J87" i="1"/>
  <c r="Q86" i="1"/>
  <c r="P86" i="1"/>
  <c r="O86" i="1"/>
  <c r="N86" i="1"/>
  <c r="L86" i="1"/>
  <c r="K86" i="1"/>
  <c r="J86" i="1"/>
  <c r="Q85" i="1"/>
  <c r="P85" i="1"/>
  <c r="O85" i="1"/>
  <c r="N85" i="1"/>
  <c r="L85" i="1"/>
  <c r="K85" i="1"/>
  <c r="J85" i="1"/>
  <c r="Q84" i="1"/>
  <c r="P84" i="1"/>
  <c r="O84" i="1"/>
  <c r="N84" i="1"/>
  <c r="L84" i="1"/>
  <c r="K84" i="1"/>
  <c r="J84" i="1"/>
  <c r="N83" i="1"/>
  <c r="L83" i="1"/>
  <c r="K83" i="1"/>
  <c r="J83" i="1"/>
  <c r="Q82" i="1"/>
  <c r="P82" i="1"/>
  <c r="O82" i="1"/>
  <c r="N82" i="1"/>
  <c r="L82" i="1"/>
  <c r="K82" i="1"/>
  <c r="J82" i="1"/>
  <c r="Q81" i="1"/>
  <c r="P81" i="1"/>
  <c r="O81" i="1"/>
  <c r="N81" i="1"/>
  <c r="L81" i="1"/>
  <c r="K81" i="1"/>
  <c r="J81" i="1"/>
  <c r="N80" i="1"/>
  <c r="L80" i="1"/>
  <c r="K80" i="1"/>
  <c r="J80" i="1"/>
  <c r="Q79" i="1"/>
  <c r="P79" i="1"/>
  <c r="O79" i="1"/>
  <c r="N79" i="1"/>
  <c r="L79" i="1"/>
  <c r="K79" i="1"/>
  <c r="J79" i="1"/>
  <c r="Q78" i="1"/>
  <c r="P78" i="1"/>
  <c r="O78" i="1"/>
  <c r="N78" i="1"/>
  <c r="L78" i="1"/>
  <c r="K78" i="1"/>
  <c r="J78" i="1"/>
  <c r="Q77" i="1"/>
  <c r="P77" i="1"/>
  <c r="O77" i="1"/>
  <c r="N77" i="1"/>
  <c r="L77" i="1"/>
  <c r="K77" i="1"/>
  <c r="J77" i="1"/>
  <c r="Q76" i="1"/>
  <c r="P76" i="1"/>
  <c r="O76" i="1"/>
  <c r="N76" i="1"/>
  <c r="L76" i="1"/>
  <c r="K76" i="1"/>
  <c r="J76" i="1"/>
  <c r="Q75" i="1"/>
  <c r="P75" i="1"/>
  <c r="O75" i="1"/>
  <c r="N75" i="1"/>
  <c r="L75" i="1"/>
  <c r="K75" i="1"/>
  <c r="J75" i="1"/>
  <c r="Q74" i="1"/>
  <c r="P74" i="1"/>
  <c r="O74" i="1"/>
  <c r="N74" i="1"/>
  <c r="L74" i="1"/>
  <c r="K74" i="1"/>
  <c r="J74" i="1"/>
  <c r="Q73" i="1"/>
  <c r="P73" i="1"/>
  <c r="O73" i="1"/>
  <c r="N73" i="1"/>
  <c r="L73" i="1"/>
  <c r="K73" i="1"/>
  <c r="J73" i="1"/>
  <c r="Q72" i="1"/>
  <c r="P72" i="1"/>
  <c r="O72" i="1"/>
  <c r="N72" i="1"/>
  <c r="L72" i="1"/>
  <c r="K72" i="1"/>
  <c r="J72" i="1"/>
  <c r="Q71" i="1"/>
  <c r="P71" i="1"/>
  <c r="O71" i="1"/>
  <c r="N71" i="1"/>
  <c r="L71" i="1"/>
  <c r="K71" i="1"/>
  <c r="J71" i="1"/>
  <c r="Q70" i="1"/>
  <c r="P70" i="1"/>
  <c r="O70" i="1"/>
  <c r="N70" i="1"/>
  <c r="L70" i="1"/>
  <c r="K70" i="1"/>
  <c r="J70" i="1"/>
  <c r="Q69" i="1"/>
  <c r="P69" i="1"/>
  <c r="O69" i="1"/>
  <c r="N69" i="1"/>
  <c r="L69" i="1"/>
  <c r="K69" i="1"/>
  <c r="J69" i="1"/>
  <c r="Q68" i="1"/>
  <c r="P68" i="1"/>
  <c r="O68" i="1"/>
  <c r="N68" i="1"/>
  <c r="L68" i="1"/>
  <c r="K68" i="1"/>
  <c r="J68" i="1"/>
  <c r="Q67" i="1"/>
  <c r="P67" i="1"/>
  <c r="O67" i="1"/>
  <c r="N67" i="1"/>
  <c r="L67" i="1"/>
  <c r="K67" i="1"/>
  <c r="J67" i="1"/>
  <c r="Q66" i="1"/>
  <c r="P66" i="1"/>
  <c r="O66" i="1"/>
  <c r="N66" i="1"/>
  <c r="L66" i="1"/>
  <c r="K66" i="1"/>
  <c r="J66" i="1"/>
  <c r="N65" i="1"/>
  <c r="L65" i="1"/>
  <c r="K65" i="1"/>
  <c r="J65" i="1"/>
  <c r="N64" i="1"/>
  <c r="L64" i="1"/>
  <c r="K64" i="1"/>
  <c r="J64" i="1"/>
  <c r="Q63" i="1"/>
  <c r="P63" i="1"/>
  <c r="O63" i="1"/>
  <c r="N63" i="1"/>
  <c r="L63" i="1"/>
  <c r="K63" i="1"/>
  <c r="J63" i="1"/>
  <c r="Q62" i="1"/>
  <c r="P62" i="1"/>
  <c r="O62" i="1"/>
  <c r="N62" i="1"/>
  <c r="L62" i="1"/>
  <c r="K62" i="1"/>
  <c r="J62" i="1"/>
  <c r="M61" i="1"/>
  <c r="M7" i="1" s="1"/>
  <c r="I61" i="1"/>
  <c r="H61" i="1"/>
  <c r="F61" i="1"/>
  <c r="E61" i="1"/>
  <c r="D61" i="1"/>
  <c r="C61" i="1"/>
  <c r="N60" i="1"/>
  <c r="L60" i="1"/>
  <c r="K60" i="1"/>
  <c r="J60" i="1"/>
  <c r="N59" i="1"/>
  <c r="L59" i="1"/>
  <c r="K59" i="1"/>
  <c r="J59" i="1"/>
  <c r="N58" i="1"/>
  <c r="L58" i="1"/>
  <c r="K58" i="1"/>
  <c r="J58" i="1"/>
  <c r="N57" i="1"/>
  <c r="L57" i="1"/>
  <c r="K57" i="1"/>
  <c r="J57" i="1"/>
  <c r="N56" i="1"/>
  <c r="L56" i="1"/>
  <c r="K56" i="1"/>
  <c r="J56" i="1"/>
  <c r="N55" i="1"/>
  <c r="L55" i="1"/>
  <c r="K55" i="1"/>
  <c r="J55" i="1"/>
  <c r="N54" i="1"/>
  <c r="L54" i="1"/>
  <c r="K54" i="1"/>
  <c r="J54" i="1"/>
  <c r="Q53" i="1"/>
  <c r="P53" i="1"/>
  <c r="O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P47" i="1"/>
  <c r="O47" i="1"/>
  <c r="N47" i="1"/>
  <c r="L47" i="1"/>
  <c r="K47" i="1"/>
  <c r="J47" i="1"/>
  <c r="Q46" i="1"/>
  <c r="P46" i="1"/>
  <c r="O46" i="1"/>
  <c r="N46" i="1"/>
  <c r="L46" i="1"/>
  <c r="K46" i="1"/>
  <c r="J46" i="1"/>
  <c r="Q45" i="1"/>
  <c r="P45" i="1"/>
  <c r="O45" i="1"/>
  <c r="N45" i="1"/>
  <c r="L45" i="1"/>
  <c r="K45" i="1"/>
  <c r="J45" i="1"/>
  <c r="Q44" i="1"/>
  <c r="P44" i="1"/>
  <c r="O44" i="1"/>
  <c r="N44" i="1"/>
  <c r="L44" i="1"/>
  <c r="K44" i="1"/>
  <c r="J44" i="1"/>
  <c r="Q43" i="1"/>
  <c r="P43" i="1"/>
  <c r="O43" i="1"/>
  <c r="N43" i="1"/>
  <c r="L43" i="1"/>
  <c r="K43" i="1"/>
  <c r="J43" i="1"/>
  <c r="Q42" i="1"/>
  <c r="P42" i="1"/>
  <c r="O42" i="1"/>
  <c r="N42" i="1"/>
  <c r="L42" i="1"/>
  <c r="K42" i="1"/>
  <c r="J42" i="1"/>
  <c r="Q41" i="1"/>
  <c r="P41" i="1"/>
  <c r="O41" i="1"/>
  <c r="N41" i="1"/>
  <c r="L41" i="1"/>
  <c r="K41" i="1"/>
  <c r="J41" i="1"/>
  <c r="L40" i="1"/>
  <c r="Q39" i="1"/>
  <c r="P39" i="1"/>
  <c r="O39" i="1"/>
  <c r="N39" i="1"/>
  <c r="L39" i="1"/>
  <c r="K39" i="1"/>
  <c r="J39" i="1"/>
  <c r="Q38" i="1"/>
  <c r="P38" i="1"/>
  <c r="O38" i="1"/>
  <c r="N38" i="1"/>
  <c r="L38" i="1"/>
  <c r="K38" i="1"/>
  <c r="J38" i="1"/>
  <c r="Q37" i="1"/>
  <c r="P37" i="1"/>
  <c r="O37" i="1"/>
  <c r="N37" i="1"/>
  <c r="L37" i="1"/>
  <c r="K37" i="1"/>
  <c r="J37" i="1"/>
  <c r="Q36" i="1"/>
  <c r="P36" i="1"/>
  <c r="O36" i="1"/>
  <c r="N36" i="1"/>
  <c r="L36" i="1"/>
  <c r="K36" i="1"/>
  <c r="J36" i="1"/>
  <c r="Q35" i="1"/>
  <c r="P35" i="1"/>
  <c r="O35" i="1"/>
  <c r="N35" i="1"/>
  <c r="L35" i="1"/>
  <c r="K35" i="1"/>
  <c r="J35" i="1"/>
  <c r="Q34" i="1"/>
  <c r="P34" i="1"/>
  <c r="O34" i="1"/>
  <c r="N34" i="1"/>
  <c r="L34" i="1"/>
  <c r="K34" i="1"/>
  <c r="J34" i="1"/>
  <c r="Q33" i="1"/>
  <c r="P33" i="1"/>
  <c r="O33" i="1"/>
  <c r="N33" i="1"/>
  <c r="L33" i="1"/>
  <c r="K33" i="1"/>
  <c r="J33" i="1"/>
  <c r="Q32" i="1"/>
  <c r="P32" i="1"/>
  <c r="O32" i="1"/>
  <c r="N32" i="1"/>
  <c r="L32" i="1"/>
  <c r="K32" i="1"/>
  <c r="J32" i="1"/>
  <c r="Q31" i="1"/>
  <c r="P31" i="1"/>
  <c r="O31" i="1"/>
  <c r="N31" i="1"/>
  <c r="L31" i="1"/>
  <c r="K31" i="1"/>
  <c r="J31" i="1"/>
  <c r="Q30" i="1"/>
  <c r="P30" i="1"/>
  <c r="O30" i="1"/>
  <c r="N30" i="1"/>
  <c r="L30" i="1"/>
  <c r="K30" i="1"/>
  <c r="J30" i="1"/>
  <c r="Q29" i="1"/>
  <c r="P29" i="1"/>
  <c r="O29" i="1"/>
  <c r="N29" i="1"/>
  <c r="L29" i="1"/>
  <c r="K29" i="1"/>
  <c r="J29" i="1"/>
  <c r="Q28" i="1"/>
  <c r="P28" i="1"/>
  <c r="O28" i="1"/>
  <c r="N28" i="1"/>
  <c r="L28" i="1"/>
  <c r="K28" i="1"/>
  <c r="J28" i="1"/>
  <c r="Q27" i="1"/>
  <c r="P27" i="1"/>
  <c r="O27" i="1"/>
  <c r="N27" i="1"/>
  <c r="L27" i="1"/>
  <c r="K27" i="1"/>
  <c r="J27" i="1"/>
  <c r="Q26" i="1"/>
  <c r="P26" i="1"/>
  <c r="O26" i="1"/>
  <c r="N26" i="1"/>
  <c r="L26" i="1"/>
  <c r="K26" i="1"/>
  <c r="J26" i="1"/>
  <c r="Q25" i="1"/>
  <c r="P25" i="1"/>
  <c r="O25" i="1"/>
  <c r="N25" i="1"/>
  <c r="L25" i="1"/>
  <c r="K25" i="1"/>
  <c r="J25" i="1"/>
  <c r="Q24" i="1"/>
  <c r="P24" i="1"/>
  <c r="O24" i="1"/>
  <c r="N24" i="1"/>
  <c r="L24" i="1"/>
  <c r="K24" i="1"/>
  <c r="J24" i="1"/>
  <c r="Q23" i="1"/>
  <c r="P23" i="1"/>
  <c r="O23" i="1"/>
  <c r="N23" i="1"/>
  <c r="L23" i="1"/>
  <c r="K23" i="1"/>
  <c r="J23" i="1"/>
  <c r="M22" i="1"/>
  <c r="I22" i="1"/>
  <c r="H22" i="1"/>
  <c r="H7" i="1" s="1"/>
  <c r="G22" i="1"/>
  <c r="G7" i="1" s="1"/>
  <c r="F22" i="1"/>
  <c r="E22" i="1"/>
  <c r="D22" i="1"/>
  <c r="C22" i="1"/>
  <c r="N20" i="1"/>
  <c r="L20" i="1"/>
  <c r="K20" i="1"/>
  <c r="J20" i="1"/>
  <c r="N19" i="1"/>
  <c r="L19" i="1"/>
  <c r="K19" i="1"/>
  <c r="J19" i="1"/>
  <c r="N18" i="1"/>
  <c r="L18" i="1"/>
  <c r="K18" i="1"/>
  <c r="J18" i="1"/>
  <c r="N17" i="1"/>
  <c r="J17" i="1"/>
  <c r="Q16" i="1"/>
  <c r="P16" i="1"/>
  <c r="O16" i="1"/>
  <c r="N16" i="1"/>
  <c r="L16" i="1"/>
  <c r="K16" i="1"/>
  <c r="J16" i="1"/>
  <c r="Q15" i="1"/>
  <c r="O15" i="1"/>
  <c r="N15" i="1"/>
  <c r="L15" i="1"/>
  <c r="K15" i="1"/>
  <c r="P15" i="1"/>
  <c r="Q14" i="1"/>
  <c r="O14" i="1"/>
  <c r="N14" i="1"/>
  <c r="L14" i="1"/>
  <c r="K14" i="1"/>
  <c r="J14" i="1"/>
  <c r="P14" i="1"/>
  <c r="Q13" i="1"/>
  <c r="O13" i="1"/>
  <c r="N13" i="1"/>
  <c r="L13" i="1"/>
  <c r="K13" i="1"/>
  <c r="J13" i="1"/>
  <c r="P13" i="1"/>
  <c r="Q12" i="1"/>
  <c r="O12" i="1"/>
  <c r="N12" i="1"/>
  <c r="L12" i="1"/>
  <c r="K12" i="1"/>
  <c r="J12" i="1"/>
  <c r="P12" i="1"/>
  <c r="Q11" i="1"/>
  <c r="P11" i="1"/>
  <c r="N11" i="1"/>
  <c r="L11" i="1"/>
  <c r="Q10" i="1"/>
  <c r="O10" i="1"/>
  <c r="N10" i="1"/>
  <c r="P10" i="1"/>
  <c r="Q9" i="1"/>
  <c r="O9" i="1"/>
  <c r="L9" i="1"/>
  <c r="K9" i="1"/>
  <c r="P9" i="1"/>
  <c r="M8" i="1"/>
  <c r="E8" i="1"/>
  <c r="L8" i="1" s="1"/>
  <c r="D8" i="1"/>
  <c r="C8" i="1"/>
  <c r="C7" i="1" s="1"/>
  <c r="I7" i="1" l="1"/>
  <c r="J97" i="1"/>
  <c r="K97" i="1"/>
  <c r="J22" i="1"/>
  <c r="N97" i="1"/>
  <c r="P22" i="1"/>
  <c r="L61" i="1"/>
  <c r="P61" i="1"/>
  <c r="J107" i="1"/>
  <c r="O61" i="1"/>
  <c r="D7" i="1"/>
  <c r="Q8" i="1"/>
  <c r="J61" i="1"/>
  <c r="K22" i="1"/>
  <c r="Q97" i="1"/>
  <c r="P107" i="1"/>
  <c r="O22" i="1"/>
  <c r="Q107" i="1"/>
  <c r="E7" i="1"/>
  <c r="F7" i="1"/>
  <c r="H8" i="1"/>
  <c r="K61" i="1"/>
  <c r="N8" i="1"/>
  <c r="L22" i="1"/>
  <c r="O97" i="1"/>
  <c r="N107" i="1"/>
  <c r="O8" i="1"/>
  <c r="Q22" i="1"/>
  <c r="Q61" i="1"/>
  <c r="L97" i="1"/>
  <c r="K107" i="1"/>
  <c r="O107" i="1"/>
  <c r="N22" i="1"/>
  <c r="N61" i="1"/>
  <c r="K7" i="1" l="1"/>
  <c r="N7" i="1"/>
  <c r="O7" i="1"/>
  <c r="Q7" i="1"/>
  <c r="P8" i="1"/>
  <c r="P7" i="1"/>
</calcChain>
</file>

<file path=xl/sharedStrings.xml><?xml version="1.0" encoding="utf-8"?>
<sst xmlns="http://schemas.openxmlformats.org/spreadsheetml/2006/main" count="196" uniqueCount="195">
  <si>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</si>
  <si>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</si>
  <si>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</si>
  <si>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</si>
  <si>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</si>
  <si>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</si>
  <si>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</si>
  <si>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</si>
  <si>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</si>
  <si>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</si>
  <si>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</si>
  <si>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</si>
  <si>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</si>
  <si>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</si>
  <si>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</si>
  <si>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</si>
  <si>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</si>
  <si>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</si>
  <si>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</si>
  <si>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</si>
  <si>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</si>
  <si>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</si>
  <si>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</si>
  <si>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</si>
  <si>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</si>
  <si>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</si>
  <si>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</si>
  <si>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</si>
  <si>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</si>
  <si>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</si>
  <si>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</si>
  <si>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</si>
  <si>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</si>
  <si>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</si>
  <si>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</si>
  <si>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</si>
  <si>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</si>
  <si>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</si>
  <si>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</si>
  <si>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</si>
  <si>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</si>
  <si>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</si>
  <si>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</si>
  <si>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</si>
  <si>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</si>
  <si>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</si>
  <si>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</si>
  <si>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</si>
  <si>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</si>
  <si>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</si>
  <si>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</si>
  <si>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</si>
  <si>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</si>
  <si>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</si>
  <si>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</si>
  <si>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</si>
  <si>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</si>
  <si>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</si>
  <si>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</si>
  <si>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</si>
  <si>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</si>
  <si>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</si>
  <si>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</si>
  <si>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</si>
  <si>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</si>
  <si>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</si>
  <si>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</si>
  <si>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</si>
  <si>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</si>
  <si>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</si>
  <si>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</si>
  <si>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</si>
  <si>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</si>
  <si>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</si>
  <si>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</si>
  <si>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</si>
  <si>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</si>
  <si>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</si>
  <si>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</si>
  <si>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</si>
  <si>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</si>
  <si>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</si>
  <si>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</si>
  <si>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</si>
  <si>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</si>
  <si>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</si>
  <si>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</si>
  <si>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</si>
  <si>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SERVICIOS COMERCIALES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</si>
  <si>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</si>
  <si>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</si>
  <si>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</si>
  <si>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</si>
  <si>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</si>
  <si>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</si>
  <si>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</si>
  <si>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</si>
  <si>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</si>
  <si>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</si>
  <si>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</si>
  <si>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</si>
  <si>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</si>
  <si>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</si>
  <si>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</si>
  <si>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</si>
  <si>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</si>
  <si>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INFORMACION Y PUBLICIDAD CRÉDITOS RECONOCIDO</t>
  </si>
  <si>
    <t>TRANSPORTE DE PERSONAS CRÉDITO RECONOCIDO</t>
  </si>
  <si>
    <t>SERVICIOS COMERCIALES Y FINANCIEROS CREDITOS R</t>
  </si>
  <si>
    <t>MANTENIMIENTO Y REPARACION CRÉDITOS RECONOCIDO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</si>
  <si>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</si>
  <si>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</si>
  <si>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</si>
  <si>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</si>
  <si>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</si>
  <si>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</si>
  <si>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</si>
  <si>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</si>
  <si>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</si>
  <si>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</si>
  <si>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</si>
  <si>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</si>
  <si>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</si>
  <si>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</si>
  <si>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</si>
  <si>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</si>
  <si>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</si>
  <si>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</si>
  <si>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</si>
  <si>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</si>
  <si>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</si>
  <si>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</si>
  <si>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</si>
  <si>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</si>
  <si>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</si>
  <si>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</si>
  <si>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</si>
  <si>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</si>
  <si>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</si>
  <si>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</si>
  <si>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</si>
  <si>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</si>
  <si>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</si>
  <si>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</si>
  <si>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</si>
  <si>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</si>
  <si>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</si>
  <si>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</si>
  <si>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</si>
  <si>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</si>
  <si>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</si>
  <si>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</si>
  <si>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</si>
  <si>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</si>
  <si>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</si>
  <si>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</si>
  <si>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</si>
  <si>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</si>
  <si>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</si>
  <si>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</si>
  <si>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</si>
  <si>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</si>
  <si>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</si>
  <si>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</si>
  <si>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</si>
  <si>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COMBUSTIBLES Y LUBRICANTES CRÉDITOS RECONOCIDOS</t>
  </si>
  <si>
    <t>PRODUCTOS DE PAPEL Y CARTON CREDITOS RECONOCIDOS</t>
  </si>
  <si>
    <t>PRODUCTOS QUIMICOS Y CONEXIÓN CREDITOS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</si>
  <si>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</si>
  <si>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</si>
  <si>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</si>
  <si>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</si>
  <si>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</si>
  <si>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</si>
  <si>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</si>
  <si>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</si>
  <si>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</si>
  <si>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</si>
  <si>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</si>
  <si>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</si>
  <si>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</si>
  <si>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MAQUINARIA Y EQUIPO DE TRANS. CREDITOS RECONOCIDOS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</si>
  <si>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</si>
  <si>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</si>
  <si>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</si>
  <si>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</si>
  <si>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</si>
  <si>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</si>
  <si>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</si>
  <si>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</si>
  <si>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</si>
  <si>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</si>
  <si>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 xml:space="preserve">VIATICO A OTRAS PRSONAS </t>
  </si>
  <si>
    <t>AL 31 DE SEPTIEMBRE DE 2019</t>
  </si>
  <si>
    <t>Preparado por : Vianed Ballesteros / Jefa 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</si>
</sst>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10" fontId="7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4" xfId="0" applyNumberFormat="1" applyFont="1" applyFill="1" applyBorder="1" applyAlignment="1"/>
    <xf numFmtId="9" fontId="6" fillId="0" borderId="5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7" fillId="0" borderId="11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wrapText="1"/>
    </xf>
    <xf numFmtId="9" fontId="4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0" fontId="4" fillId="0" borderId="11" xfId="0" quotePrefix="1" applyFont="1" applyFill="1" applyBorder="1" applyAlignment="1" applyProtection="1">
      <alignment horizontal="left"/>
      <protection locked="0"/>
    </xf>
    <xf numFmtId="3" fontId="9" fillId="0" borderId="11" xfId="0" applyNumberFormat="1" applyFont="1" applyFill="1" applyBorder="1"/>
    <xf numFmtId="49" fontId="4" fillId="0" borderId="11" xfId="0" applyNumberFormat="1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>
      <alignment wrapText="1"/>
    </xf>
    <xf numFmtId="9" fontId="7" fillId="0" borderId="11" xfId="0" applyNumberFormat="1" applyFont="1" applyFill="1" applyBorder="1" applyAlignment="1">
      <alignment wrapText="1"/>
    </xf>
    <xf numFmtId="9" fontId="9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4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10" fontId="5" fillId="0" borderId="0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7" fillId="0" borderId="0" xfId="0" applyNumberFormat="1" applyFont="1" applyFill="1" applyBorder="1" applyAlignment="1" applyProtection="1">
      <protection locked="0"/>
    </xf>
    <xf numFmtId="3" fontId="4" fillId="0" borderId="5" xfId="0" applyNumberFormat="1" applyFont="1" applyFill="1" applyBorder="1" applyAlignment="1" applyProtection="1">
      <protection locked="0"/>
    </xf>
    <xf numFmtId="10" fontId="7" fillId="0" borderId="1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4" fillId="0" borderId="13" xfId="0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/>
    <xf numFmtId="0" fontId="4" fillId="0" borderId="15" xfId="0" quotePrefix="1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9" fontId="9" fillId="0" borderId="11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/>
    <xf numFmtId="0" fontId="9" fillId="0" borderId="11" xfId="0" applyFont="1" applyFill="1" applyBorder="1" applyAlignment="1">
      <alignment horizontal="left"/>
    </xf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7" xfId="0" applyFont="1" applyFill="1" applyBorder="1" applyAlignment="1">
      <alignment horizontal="left"/>
    </xf>
    <xf numFmtId="0" fontId="9" fillId="0" borderId="18" xfId="0" applyFont="1" applyFill="1" applyBorder="1"/>
    <xf numFmtId="3" fontId="9" fillId="0" borderId="17" xfId="0" applyNumberFormat="1" applyFont="1" applyFill="1" applyBorder="1"/>
    <xf numFmtId="3" fontId="10" fillId="0" borderId="17" xfId="0" applyNumberFormat="1" applyFont="1" applyFill="1" applyBorder="1"/>
    <xf numFmtId="3" fontId="4" fillId="0" borderId="17" xfId="0" applyNumberFormat="1" applyFont="1" applyFill="1" applyBorder="1" applyAlignment="1" applyProtection="1">
      <protection locked="0"/>
    </xf>
    <xf numFmtId="3" fontId="7" fillId="0" borderId="17" xfId="0" applyNumberFormat="1" applyFont="1" applyFill="1" applyBorder="1" applyAlignment="1">
      <alignment wrapText="1"/>
    </xf>
    <xf numFmtId="3" fontId="7" fillId="0" borderId="19" xfId="0" applyNumberFormat="1" applyFont="1" applyFill="1" applyBorder="1" applyAlignment="1">
      <alignment wrapText="1"/>
    </xf>
    <xf numFmtId="3" fontId="6" fillId="0" borderId="17" xfId="0" applyNumberFormat="1" applyFont="1" applyFill="1" applyBorder="1" applyAlignment="1" applyProtection="1">
      <protection locked="0"/>
    </xf>
    <xf numFmtId="9" fontId="4" fillId="0" borderId="17" xfId="0" applyNumberFormat="1" applyFont="1" applyFill="1" applyBorder="1" applyAlignment="1" applyProtection="1">
      <protection locked="0"/>
    </xf>
    <xf numFmtId="10" fontId="5" fillId="0" borderId="20" xfId="0" applyNumberFormat="1" applyFont="1" applyFill="1" applyBorder="1" applyAlignment="1">
      <alignment horizontal="right" vertical="center" wrapText="1"/>
    </xf>
    <xf numFmtId="9" fontId="9" fillId="0" borderId="1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0</xdr:colOff>
      <xdr:row>59</xdr:row>
      <xdr:rowOff>28575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14</xdr:col>
      <xdr:colOff>0</xdr:colOff>
      <xdr:row>57</xdr:row>
      <xdr:rowOff>28575</xdr:rowOff>
    </xdr:to>
    <xdr:pic>
      <xdr:nvPicPr>
        <xdr:cNvPr id="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392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47</xdr:row>
      <xdr:rowOff>0</xdr:rowOff>
    </xdr:from>
    <xdr:to>
      <xdr:col>14</xdr:col>
      <xdr:colOff>0</xdr:colOff>
      <xdr:row>47</xdr:row>
      <xdr:rowOff>28575</xdr:rowOff>
    </xdr:to>
    <xdr:pic>
      <xdr:nvPicPr>
        <xdr:cNvPr id="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630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0</xdr:colOff>
      <xdr:row>44</xdr:row>
      <xdr:rowOff>28575</xdr:rowOff>
    </xdr:to>
    <xdr:pic>
      <xdr:nvPicPr>
        <xdr:cNvPr id="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60</xdr:row>
      <xdr:rowOff>0</xdr:rowOff>
    </xdr:from>
    <xdr:to>
      <xdr:col>14</xdr:col>
      <xdr:colOff>0</xdr:colOff>
      <xdr:row>60</xdr:row>
      <xdr:rowOff>28575</xdr:rowOff>
    </xdr:to>
    <xdr:pic>
      <xdr:nvPicPr>
        <xdr:cNvPr id="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72212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0</xdr:colOff>
      <xdr:row>46</xdr:row>
      <xdr:rowOff>28575</xdr:rowOff>
    </xdr:to>
    <xdr:pic>
      <xdr:nvPicPr>
        <xdr:cNvPr id="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0</xdr:colOff>
      <xdr:row>45</xdr:row>
      <xdr:rowOff>28575</xdr:rowOff>
    </xdr:to>
    <xdr:pic>
      <xdr:nvPicPr>
        <xdr:cNvPr id="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abSelected="1" topLeftCell="A106" zoomScale="80" zoomScaleNormal="80" workbookViewId="0">
      <selection activeCell="A114" sqref="A114"/>
    </sheetView>
  </sheetViews>
  <sheetFormatPr baseColWidth="10" defaultRowHeight="15.75" x14ac:dyDescent="0.25"/>
  <cols>
    <col min="1" max="1" width="8.5703125" customWidth="1"/>
    <col min="2" max="2" width="46" style="64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style="88" customWidth="1"/>
    <col min="10" max="10" width="16.42578125" customWidth="1"/>
    <col min="11" max="11" width="17.42578125" style="88" customWidth="1"/>
    <col min="12" max="12" width="15.7109375" customWidth="1"/>
    <col min="13" max="13" width="14.5703125" style="88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71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71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71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71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71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71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71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71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71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71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71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71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71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71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71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71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71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71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71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71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71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71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71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71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71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71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71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71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71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71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71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71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71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71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71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71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71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71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71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71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71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71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71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71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71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71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71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71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71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71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71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71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71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71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71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71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71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71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71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71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71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71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71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18" x14ac:dyDescent="0.25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ht="18" x14ac:dyDescent="0.25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8" x14ac:dyDescent="0.25">
      <c r="A4" s="92" t="s">
        <v>193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18.75" thickBot="1" x14ac:dyDescent="0.3">
      <c r="A5" s="95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17" ht="90.75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1.75" customHeight="1" x14ac:dyDescent="0.25">
      <c r="A7" s="7"/>
      <c r="B7" s="8" t="s">
        <v>21</v>
      </c>
      <c r="C7" s="9">
        <f>SUM(C8+C22+C61+C97+C107)</f>
        <v>2484400</v>
      </c>
      <c r="D7" s="10">
        <f>D22+D61+D97+D107+D8</f>
        <v>27776</v>
      </c>
      <c r="E7" s="9">
        <f>SUM(E8+E22+E61+E97+E107)</f>
        <v>2484400</v>
      </c>
      <c r="F7" s="9">
        <f>SUM(F8+F22+F61+F97+F107)</f>
        <v>2045760</v>
      </c>
      <c r="G7" s="10">
        <f>+G22</f>
        <v>8985</v>
      </c>
      <c r="H7" s="9">
        <f>+H8+H22+H61+H97+H107</f>
        <v>141407.07</v>
      </c>
      <c r="I7" s="9">
        <f>+I8+I22+I61+I97+I107</f>
        <v>1438399.27</v>
      </c>
      <c r="J7" s="9">
        <f>SUM(F7-I7)</f>
        <v>607360.73</v>
      </c>
      <c r="K7" s="11">
        <f t="shared" ref="K7:K16" si="0">SUM(E7-I7)</f>
        <v>1046000.73</v>
      </c>
      <c r="L7" s="9">
        <f t="shared" ref="L7:L16" si="1">SUM(E7-F7)</f>
        <v>438640</v>
      </c>
      <c r="M7" s="9">
        <f>+M8+M22+M61+M97+M107</f>
        <v>617351.26</v>
      </c>
      <c r="N7" s="12">
        <f t="shared" ref="N7:N20" si="2">SUM(I7-M7)</f>
        <v>821048.01</v>
      </c>
      <c r="O7" s="13">
        <f>SUM(I7/F7*100%)</f>
        <v>0.70311242276708896</v>
      </c>
      <c r="P7" s="14">
        <f t="shared" ref="P7:P16" si="3">SUM(H7/E7)</f>
        <v>5.6917996296892613E-2</v>
      </c>
      <c r="Q7" s="15">
        <f t="shared" ref="Q7:Q16" si="4">SUM(I7/E7*100%)</f>
        <v>0.57897249637739501</v>
      </c>
    </row>
    <row r="8" spans="1:17" ht="21.75" customHeight="1" x14ac:dyDescent="0.25">
      <c r="A8" s="16"/>
      <c r="B8" s="17" t="s">
        <v>22</v>
      </c>
      <c r="C8" s="18">
        <f>SUM(C9:C20)</f>
        <v>1685950</v>
      </c>
      <c r="D8" s="19">
        <f>SUM(D9:D20)</f>
        <v>0</v>
      </c>
      <c r="E8" s="20">
        <f>SUM(E9:E20)</f>
        <v>1685950</v>
      </c>
      <c r="F8" s="18">
        <f>SUM(F9:F20)</f>
        <v>1279235</v>
      </c>
      <c r="G8" s="19">
        <v>0</v>
      </c>
      <c r="H8" s="18">
        <f>SUM(H9:H20)</f>
        <v>64416.06</v>
      </c>
      <c r="I8" s="19">
        <f>SUM(I9:I20)</f>
        <v>1043487.28</v>
      </c>
      <c r="J8" s="12">
        <f>F8-I8</f>
        <v>235747.71999999997</v>
      </c>
      <c r="K8" s="11">
        <f t="shared" si="0"/>
        <v>642462.71999999997</v>
      </c>
      <c r="L8" s="12">
        <f t="shared" si="1"/>
        <v>406715</v>
      </c>
      <c r="M8" s="18">
        <f>SUM(M9:M20)</f>
        <v>495315.06000000006</v>
      </c>
      <c r="N8" s="12">
        <f t="shared" si="2"/>
        <v>548172.22</v>
      </c>
      <c r="O8" s="21">
        <f>SUM(I8/F8*100%)</f>
        <v>0.81571195284681863</v>
      </c>
      <c r="P8" s="14">
        <f t="shared" si="3"/>
        <v>3.8207574364601558E-2</v>
      </c>
      <c r="Q8" s="15">
        <f t="shared" si="4"/>
        <v>0.61893133248316978</v>
      </c>
    </row>
    <row r="9" spans="1:17" ht="21.75" customHeight="1" x14ac:dyDescent="0.25">
      <c r="A9" s="22" t="s">
        <v>23</v>
      </c>
      <c r="B9" s="23" t="s">
        <v>24</v>
      </c>
      <c r="C9" s="24">
        <v>1301800</v>
      </c>
      <c r="D9" s="25">
        <v>-150000</v>
      </c>
      <c r="E9" s="24">
        <v>1151800</v>
      </c>
      <c r="F9" s="26">
        <v>826351</v>
      </c>
      <c r="G9" s="25">
        <v>0</v>
      </c>
      <c r="H9" s="24">
        <v>51971.67</v>
      </c>
      <c r="I9" s="25">
        <f>SUM(H9+698076)</f>
        <v>750047.67</v>
      </c>
      <c r="J9" s="27">
        <f>F9-I9</f>
        <v>76303.329999999958</v>
      </c>
      <c r="K9" s="28">
        <f t="shared" si="0"/>
        <v>401752.32999999996</v>
      </c>
      <c r="L9" s="27">
        <f t="shared" si="1"/>
        <v>325449</v>
      </c>
      <c r="M9" s="24">
        <v>392017</v>
      </c>
      <c r="N9" s="27">
        <f>SUM(I9-M9)</f>
        <v>358030.67000000004</v>
      </c>
      <c r="O9" s="29">
        <f>SUM(I9/F9*100%)</f>
        <v>0.90766232508945965</v>
      </c>
      <c r="P9" s="14">
        <f t="shared" si="3"/>
        <v>4.5122130578225388E-2</v>
      </c>
      <c r="Q9" s="15">
        <f t="shared" si="4"/>
        <v>0.65119610175377673</v>
      </c>
    </row>
    <row r="10" spans="1:17" ht="21.75" customHeight="1" x14ac:dyDescent="0.25">
      <c r="A10" s="22" t="s">
        <v>25</v>
      </c>
      <c r="B10" s="23" t="s">
        <v>26</v>
      </c>
      <c r="C10" s="24">
        <v>54000</v>
      </c>
      <c r="D10" s="25"/>
      <c r="E10" s="24">
        <v>54000</v>
      </c>
      <c r="F10" s="24">
        <v>40500</v>
      </c>
      <c r="G10" s="25">
        <v>0</v>
      </c>
      <c r="H10" s="24">
        <v>3000</v>
      </c>
      <c r="I10" s="30">
        <f>SUM(35955+H10)</f>
        <v>38955</v>
      </c>
      <c r="J10" s="27">
        <f t="shared" ref="J10:J20" si="5">F10-I10</f>
        <v>1545</v>
      </c>
      <c r="K10" s="28">
        <f t="shared" si="0"/>
        <v>15045</v>
      </c>
      <c r="L10" s="27">
        <f t="shared" si="1"/>
        <v>13500</v>
      </c>
      <c r="M10" s="31">
        <v>21582.080000000002</v>
      </c>
      <c r="N10" s="27">
        <f t="shared" si="2"/>
        <v>17372.919999999998</v>
      </c>
      <c r="O10" s="29">
        <f>SUM(I10/F10*100%)</f>
        <v>0.96185185185185185</v>
      </c>
      <c r="P10" s="14">
        <f t="shared" si="3"/>
        <v>5.5555555555555552E-2</v>
      </c>
      <c r="Q10" s="15">
        <f t="shared" si="4"/>
        <v>0.72138888888888886</v>
      </c>
    </row>
    <row r="11" spans="1:17" ht="21.75" customHeight="1" x14ac:dyDescent="0.25">
      <c r="A11" s="32" t="s">
        <v>27</v>
      </c>
      <c r="B11" s="23" t="s">
        <v>28</v>
      </c>
      <c r="C11" s="24">
        <v>36850</v>
      </c>
      <c r="D11" s="25"/>
      <c r="E11" s="24">
        <v>36850</v>
      </c>
      <c r="F11" s="24">
        <v>24567</v>
      </c>
      <c r="G11" s="25">
        <v>0</v>
      </c>
      <c r="H11" s="33">
        <v>0</v>
      </c>
      <c r="I11" s="30">
        <v>20832.400000000001</v>
      </c>
      <c r="J11" s="27">
        <f t="shared" si="5"/>
        <v>3734.5999999999985</v>
      </c>
      <c r="K11" s="28">
        <f t="shared" si="0"/>
        <v>16017.599999999999</v>
      </c>
      <c r="L11" s="27">
        <f t="shared" si="1"/>
        <v>12283</v>
      </c>
      <c r="M11" s="31">
        <v>7776.24</v>
      </c>
      <c r="N11" s="27">
        <f t="shared" si="2"/>
        <v>13056.160000000002</v>
      </c>
      <c r="O11" s="29">
        <v>0</v>
      </c>
      <c r="P11" s="14">
        <f t="shared" si="3"/>
        <v>0</v>
      </c>
      <c r="Q11" s="15">
        <f t="shared" si="4"/>
        <v>0.56532971506105834</v>
      </c>
    </row>
    <row r="12" spans="1:17" ht="21.75" customHeight="1" x14ac:dyDescent="0.25">
      <c r="A12" s="22" t="s">
        <v>29</v>
      </c>
      <c r="B12" s="23" t="s">
        <v>30</v>
      </c>
      <c r="C12" s="24">
        <v>170047</v>
      </c>
      <c r="D12" s="25"/>
      <c r="E12" s="24">
        <v>170047</v>
      </c>
      <c r="F12" s="24">
        <v>127537</v>
      </c>
      <c r="G12" s="25">
        <v>0</v>
      </c>
      <c r="H12" s="24">
        <v>7382.46</v>
      </c>
      <c r="I12" s="30">
        <f>SUM(91698+H12)</f>
        <v>99080.46</v>
      </c>
      <c r="J12" s="27">
        <f t="shared" si="5"/>
        <v>28456.539999999994</v>
      </c>
      <c r="K12" s="28">
        <f t="shared" si="0"/>
        <v>70966.539999999994</v>
      </c>
      <c r="L12" s="27">
        <f t="shared" si="1"/>
        <v>42510</v>
      </c>
      <c r="M12" s="31">
        <v>56971.95</v>
      </c>
      <c r="N12" s="27">
        <f t="shared" si="2"/>
        <v>42108.510000000009</v>
      </c>
      <c r="O12" s="29">
        <f>SUM(I12/F12*100%)</f>
        <v>0.77687620063197349</v>
      </c>
      <c r="P12" s="14">
        <f t="shared" si="3"/>
        <v>4.3414232535710716E-2</v>
      </c>
      <c r="Q12" s="15">
        <f t="shared" si="4"/>
        <v>0.58266514551859194</v>
      </c>
    </row>
    <row r="13" spans="1:17" ht="21.75" customHeight="1" x14ac:dyDescent="0.25">
      <c r="A13" s="22" t="s">
        <v>31</v>
      </c>
      <c r="B13" s="23" t="s">
        <v>32</v>
      </c>
      <c r="C13" s="24">
        <v>19527</v>
      </c>
      <c r="D13" s="25"/>
      <c r="E13" s="24">
        <v>19527</v>
      </c>
      <c r="F13" s="24">
        <v>14646</v>
      </c>
      <c r="G13" s="25">
        <v>0</v>
      </c>
      <c r="H13" s="24">
        <v>789.03</v>
      </c>
      <c r="I13" s="30">
        <f>SUM(10441.82+H13)</f>
        <v>11230.85</v>
      </c>
      <c r="J13" s="27">
        <f t="shared" si="5"/>
        <v>3415.1499999999996</v>
      </c>
      <c r="K13" s="28">
        <f t="shared" si="0"/>
        <v>8296.15</v>
      </c>
      <c r="L13" s="27">
        <f t="shared" si="1"/>
        <v>4881</v>
      </c>
      <c r="M13" s="31">
        <v>6410.08</v>
      </c>
      <c r="N13" s="27">
        <f t="shared" si="2"/>
        <v>4820.7700000000004</v>
      </c>
      <c r="O13" s="29">
        <f>SUM(I13/F13*100%)</f>
        <v>0.7668202922299604</v>
      </c>
      <c r="P13" s="14">
        <f t="shared" si="3"/>
        <v>4.0407128591181438E-2</v>
      </c>
      <c r="Q13" s="15">
        <f t="shared" si="4"/>
        <v>0.57514467148051418</v>
      </c>
    </row>
    <row r="14" spans="1:17" ht="21.75" customHeight="1" x14ac:dyDescent="0.25">
      <c r="A14" s="22" t="s">
        <v>33</v>
      </c>
      <c r="B14" s="23" t="s">
        <v>34</v>
      </c>
      <c r="C14" s="24">
        <v>28472</v>
      </c>
      <c r="D14" s="25"/>
      <c r="E14" s="24">
        <v>28472</v>
      </c>
      <c r="F14" s="24">
        <v>21355</v>
      </c>
      <c r="G14" s="25">
        <v>0</v>
      </c>
      <c r="H14" s="24">
        <v>1115.0999999999999</v>
      </c>
      <c r="I14" s="30">
        <f>SUM(15368+H14)</f>
        <v>16483.099999999999</v>
      </c>
      <c r="J14" s="27">
        <f t="shared" si="5"/>
        <v>4871.9000000000015</v>
      </c>
      <c r="K14" s="28">
        <f t="shared" si="0"/>
        <v>11988.900000000001</v>
      </c>
      <c r="L14" s="27">
        <f t="shared" si="1"/>
        <v>7117</v>
      </c>
      <c r="M14" s="31">
        <v>9478.02</v>
      </c>
      <c r="N14" s="27">
        <f t="shared" si="2"/>
        <v>7005.0799999999981</v>
      </c>
      <c r="O14" s="29">
        <f>SUM(I14/F14*100%)</f>
        <v>0.77186139077499405</v>
      </c>
      <c r="P14" s="14">
        <f t="shared" si="3"/>
        <v>3.916479348131497E-2</v>
      </c>
      <c r="Q14" s="15">
        <f t="shared" si="4"/>
        <v>0.57892315257094684</v>
      </c>
    </row>
    <row r="15" spans="1:17" ht="21.75" customHeight="1" x14ac:dyDescent="0.25">
      <c r="A15" s="22" t="s">
        <v>35</v>
      </c>
      <c r="B15" s="23" t="s">
        <v>36</v>
      </c>
      <c r="C15" s="24">
        <v>3906</v>
      </c>
      <c r="D15" s="25"/>
      <c r="E15" s="24">
        <v>3906</v>
      </c>
      <c r="F15" s="24">
        <v>2931</v>
      </c>
      <c r="G15" s="25">
        <v>0</v>
      </c>
      <c r="H15" s="24">
        <v>157.80000000000001</v>
      </c>
      <c r="I15" s="30">
        <f>SUM(1916+H15)</f>
        <v>2073.8000000000002</v>
      </c>
      <c r="J15" s="27">
        <f t="shared" si="5"/>
        <v>857.19999999999982</v>
      </c>
      <c r="K15" s="28">
        <f t="shared" si="0"/>
        <v>1832.1999999999998</v>
      </c>
      <c r="L15" s="27">
        <f t="shared" si="1"/>
        <v>975</v>
      </c>
      <c r="M15" s="31">
        <v>1079.69</v>
      </c>
      <c r="N15" s="27">
        <f t="shared" si="2"/>
        <v>994.11000000000013</v>
      </c>
      <c r="O15" s="29">
        <f>SUM(I15/F15*100%)</f>
        <v>0.70754008870692597</v>
      </c>
      <c r="P15" s="14">
        <f t="shared" si="3"/>
        <v>4.0399385560675884E-2</v>
      </c>
      <c r="Q15" s="15">
        <f t="shared" si="4"/>
        <v>0.53092677931387611</v>
      </c>
    </row>
    <row r="16" spans="1:17" ht="21.75" customHeight="1" x14ac:dyDescent="0.25">
      <c r="A16" s="34" t="s">
        <v>37</v>
      </c>
      <c r="B16" s="23" t="s">
        <v>38</v>
      </c>
      <c r="C16" s="24">
        <v>71348</v>
      </c>
      <c r="D16" s="25">
        <v>80000</v>
      </c>
      <c r="E16" s="24">
        <v>151348</v>
      </c>
      <c r="F16" s="24">
        <v>151348</v>
      </c>
      <c r="G16" s="25">
        <v>0</v>
      </c>
      <c r="H16" s="24">
        <v>0</v>
      </c>
      <c r="I16" s="30">
        <f>SUM(72998+H16)</f>
        <v>72998</v>
      </c>
      <c r="J16" s="27">
        <f t="shared" si="5"/>
        <v>78350</v>
      </c>
      <c r="K16" s="28">
        <f t="shared" si="0"/>
        <v>78350</v>
      </c>
      <c r="L16" s="27">
        <f t="shared" si="1"/>
        <v>0</v>
      </c>
      <c r="M16" s="31">
        <v>0</v>
      </c>
      <c r="N16" s="27">
        <f t="shared" si="2"/>
        <v>72998</v>
      </c>
      <c r="O16" s="29">
        <f>SUM(I16/F16*100%)</f>
        <v>0.48231889420408597</v>
      </c>
      <c r="P16" s="14">
        <f t="shared" si="3"/>
        <v>0</v>
      </c>
      <c r="Q16" s="15">
        <f t="shared" si="4"/>
        <v>0.48231889420408597</v>
      </c>
    </row>
    <row r="17" spans="1:17" ht="21.75" customHeight="1" x14ac:dyDescent="0.25">
      <c r="A17" s="34" t="s">
        <v>39</v>
      </c>
      <c r="B17" s="23" t="s">
        <v>40</v>
      </c>
      <c r="C17" s="24">
        <v>0</v>
      </c>
      <c r="D17" s="25">
        <v>35000</v>
      </c>
      <c r="E17" s="24">
        <v>35000</v>
      </c>
      <c r="F17" s="24">
        <v>35000</v>
      </c>
      <c r="G17" s="25">
        <v>0</v>
      </c>
      <c r="H17" s="24">
        <v>0</v>
      </c>
      <c r="I17" s="30">
        <v>16706.060000000001</v>
      </c>
      <c r="J17" s="27">
        <f t="shared" si="5"/>
        <v>18293.939999999999</v>
      </c>
      <c r="K17" s="28">
        <v>21100</v>
      </c>
      <c r="L17" s="27">
        <v>0</v>
      </c>
      <c r="M17" s="31">
        <v>0</v>
      </c>
      <c r="N17" s="27">
        <f t="shared" si="2"/>
        <v>16706.060000000001</v>
      </c>
      <c r="O17" s="29">
        <v>0</v>
      </c>
      <c r="P17" s="14">
        <v>0</v>
      </c>
      <c r="Q17" s="15">
        <v>0</v>
      </c>
    </row>
    <row r="18" spans="1:17" ht="21.75" customHeight="1" x14ac:dyDescent="0.25">
      <c r="A18" s="34" t="s">
        <v>41</v>
      </c>
      <c r="B18" s="23" t="s">
        <v>42</v>
      </c>
      <c r="C18" s="24">
        <v>0</v>
      </c>
      <c r="D18" s="25"/>
      <c r="E18" s="24">
        <v>0</v>
      </c>
      <c r="F18" s="24">
        <v>0</v>
      </c>
      <c r="G18" s="25">
        <v>0</v>
      </c>
      <c r="H18" s="24">
        <v>0</v>
      </c>
      <c r="I18" s="30">
        <v>0</v>
      </c>
      <c r="J18" s="27">
        <f t="shared" si="5"/>
        <v>0</v>
      </c>
      <c r="K18" s="28">
        <f>SUM(E18-I18)</f>
        <v>0</v>
      </c>
      <c r="L18" s="27">
        <f>SUM(E18-F18)</f>
        <v>0</v>
      </c>
      <c r="M18" s="31">
        <v>0</v>
      </c>
      <c r="N18" s="27">
        <f t="shared" si="2"/>
        <v>0</v>
      </c>
      <c r="O18" s="29">
        <v>0</v>
      </c>
      <c r="P18" s="14">
        <v>0</v>
      </c>
      <c r="Q18" s="15">
        <v>0</v>
      </c>
    </row>
    <row r="19" spans="1:17" ht="21.75" customHeight="1" x14ac:dyDescent="0.25">
      <c r="A19" s="34" t="s">
        <v>43</v>
      </c>
      <c r="B19" s="23" t="s">
        <v>44</v>
      </c>
      <c r="C19" s="24">
        <v>0</v>
      </c>
      <c r="D19" s="25"/>
      <c r="E19" s="24">
        <v>0</v>
      </c>
      <c r="F19" s="24">
        <v>0</v>
      </c>
      <c r="G19" s="25">
        <v>0</v>
      </c>
      <c r="H19" s="24">
        <v>0</v>
      </c>
      <c r="I19" s="30">
        <v>0</v>
      </c>
      <c r="J19" s="27">
        <f t="shared" si="5"/>
        <v>0</v>
      </c>
      <c r="K19" s="28">
        <f>SUM(E19-I19)</f>
        <v>0</v>
      </c>
      <c r="L19" s="27">
        <f>SUM(E19-F19)</f>
        <v>0</v>
      </c>
      <c r="M19" s="31">
        <v>0</v>
      </c>
      <c r="N19" s="27">
        <f t="shared" si="2"/>
        <v>0</v>
      </c>
      <c r="O19" s="29">
        <v>0</v>
      </c>
      <c r="P19" s="14">
        <v>0</v>
      </c>
      <c r="Q19" s="15">
        <v>0</v>
      </c>
    </row>
    <row r="20" spans="1:17" ht="21.75" customHeight="1" x14ac:dyDescent="0.25">
      <c r="A20" s="34" t="s">
        <v>45</v>
      </c>
      <c r="B20" s="23" t="s">
        <v>46</v>
      </c>
      <c r="C20" s="24">
        <v>0</v>
      </c>
      <c r="D20" s="25">
        <v>35000</v>
      </c>
      <c r="E20" s="24">
        <v>35000</v>
      </c>
      <c r="F20" s="24">
        <v>35000</v>
      </c>
      <c r="G20" s="25">
        <v>0</v>
      </c>
      <c r="H20" s="24">
        <v>0</v>
      </c>
      <c r="I20" s="30">
        <v>15079.94</v>
      </c>
      <c r="J20" s="27">
        <f t="shared" si="5"/>
        <v>19920.059999999998</v>
      </c>
      <c r="K20" s="28">
        <f>SUM(E20-I20)</f>
        <v>19920.059999999998</v>
      </c>
      <c r="L20" s="27">
        <f>SUM(E20-F20)</f>
        <v>0</v>
      </c>
      <c r="M20" s="31">
        <v>0</v>
      </c>
      <c r="N20" s="27">
        <f t="shared" si="2"/>
        <v>15079.94</v>
      </c>
      <c r="O20" s="29">
        <v>0</v>
      </c>
      <c r="P20" s="14">
        <v>0</v>
      </c>
      <c r="Q20" s="15">
        <v>0</v>
      </c>
    </row>
    <row r="21" spans="1:17" ht="21.75" customHeight="1" x14ac:dyDescent="0.25">
      <c r="A21" s="34"/>
      <c r="B21" s="23"/>
      <c r="C21" s="24"/>
      <c r="D21" s="25"/>
      <c r="E21" s="35"/>
      <c r="F21" s="24"/>
      <c r="G21" s="35"/>
      <c r="H21" s="24"/>
      <c r="I21" s="30"/>
      <c r="J21" s="27"/>
      <c r="K21" s="11"/>
      <c r="L21" s="36"/>
      <c r="M21" s="31"/>
      <c r="N21" s="27"/>
      <c r="O21" s="37"/>
      <c r="P21" s="14"/>
      <c r="Q21" s="38"/>
    </row>
    <row r="22" spans="1:17" ht="21.75" customHeight="1" x14ac:dyDescent="0.25">
      <c r="A22" s="39"/>
      <c r="B22" s="17" t="s">
        <v>47</v>
      </c>
      <c r="C22" s="12">
        <f>SUM(C23:C58)</f>
        <v>448750</v>
      </c>
      <c r="D22" s="11">
        <f>SUM(D23:D50)</f>
        <v>11775</v>
      </c>
      <c r="E22" s="40">
        <f>SUM(E23:E60)</f>
        <v>467682</v>
      </c>
      <c r="F22" s="12">
        <f>SUM(F23:F60)</f>
        <v>447057</v>
      </c>
      <c r="G22" s="12">
        <f>SUM(G23:G59)</f>
        <v>8985</v>
      </c>
      <c r="H22" s="12">
        <f>SUM(H23:H59)</f>
        <v>14892.150000000001</v>
      </c>
      <c r="I22" s="11">
        <f>SUM(I23:I60)</f>
        <v>201945.75999999995</v>
      </c>
      <c r="J22" s="12">
        <f>SUM(F22-I22)+G22</f>
        <v>254096.24000000005</v>
      </c>
      <c r="K22" s="12">
        <f>SUM(E22-G22-I22)</f>
        <v>256751.24000000005</v>
      </c>
      <c r="L22" s="41">
        <f t="shared" ref="L22:L53" si="6">SUM(E22-F22)</f>
        <v>20625</v>
      </c>
      <c r="M22" s="12">
        <f>SUM(M23:M60)</f>
        <v>75002.720000000001</v>
      </c>
      <c r="N22" s="12">
        <f t="shared" ref="N22:N39" si="7">SUM(I22-M22)</f>
        <v>126943.03999999995</v>
      </c>
      <c r="O22" s="42">
        <f t="shared" ref="O22:O53" si="8">SUM(I22/F22*100%)</f>
        <v>0.45172262150016651</v>
      </c>
      <c r="P22" s="43">
        <f t="shared" ref="P22:P53" si="9">SUM(H22/E22)</f>
        <v>3.1842469883382303E-2</v>
      </c>
      <c r="Q22" s="44">
        <f t="shared" ref="Q22:Q53" si="10">SUM(I22/E22*100%)</f>
        <v>0.4318014377290551</v>
      </c>
    </row>
    <row r="23" spans="1:17" ht="21.75" customHeight="1" x14ac:dyDescent="0.25">
      <c r="A23" s="32" t="s">
        <v>48</v>
      </c>
      <c r="B23" s="23" t="s">
        <v>49</v>
      </c>
      <c r="C23" s="24">
        <v>120000</v>
      </c>
      <c r="D23" s="45">
        <v>3212</v>
      </c>
      <c r="E23" s="24">
        <v>123212</v>
      </c>
      <c r="F23" s="24">
        <v>123212</v>
      </c>
      <c r="G23" s="24">
        <v>8985</v>
      </c>
      <c r="H23" s="24">
        <v>1497.65</v>
      </c>
      <c r="I23" s="46">
        <f>SUM(17972+H23)</f>
        <v>19469.650000000001</v>
      </c>
      <c r="J23" s="27">
        <f>F23-I23+H23+G23</f>
        <v>114225</v>
      </c>
      <c r="K23" s="28">
        <f t="shared" ref="K23:K60" si="11">SUM(E23-I23)</f>
        <v>103742.35</v>
      </c>
      <c r="L23" s="36">
        <f t="shared" si="6"/>
        <v>0</v>
      </c>
      <c r="M23" s="24">
        <v>5990.6</v>
      </c>
      <c r="N23" s="27">
        <f t="shared" si="7"/>
        <v>13479.050000000001</v>
      </c>
      <c r="O23" s="37">
        <f t="shared" si="8"/>
        <v>0.15801748206343538</v>
      </c>
      <c r="P23" s="47">
        <f t="shared" si="9"/>
        <v>1.2155066064993671E-2</v>
      </c>
      <c r="Q23" s="38">
        <f t="shared" si="10"/>
        <v>0.15801748206343538</v>
      </c>
    </row>
    <row r="24" spans="1:17" ht="21.75" customHeight="1" x14ac:dyDescent="0.25">
      <c r="A24" s="32" t="s">
        <v>50</v>
      </c>
      <c r="B24" s="23" t="s">
        <v>51</v>
      </c>
      <c r="C24" s="24">
        <v>3500</v>
      </c>
      <c r="D24" s="45">
        <v>-312</v>
      </c>
      <c r="E24" s="24">
        <v>3188</v>
      </c>
      <c r="F24" s="24">
        <v>2938</v>
      </c>
      <c r="G24" s="24">
        <v>0</v>
      </c>
      <c r="H24" s="24">
        <v>0</v>
      </c>
      <c r="I24" s="46">
        <v>767.05</v>
      </c>
      <c r="J24" s="27">
        <f t="shared" ref="J24:J60" si="12">F24-I24+H24</f>
        <v>2170.9499999999998</v>
      </c>
      <c r="K24" s="28">
        <f t="shared" si="11"/>
        <v>2420.9499999999998</v>
      </c>
      <c r="L24" s="36">
        <f t="shared" si="6"/>
        <v>250</v>
      </c>
      <c r="M24" s="24">
        <v>0</v>
      </c>
      <c r="N24" s="27">
        <f t="shared" si="7"/>
        <v>767.05</v>
      </c>
      <c r="O24" s="37">
        <f t="shared" si="8"/>
        <v>0.26107896528250507</v>
      </c>
      <c r="P24" s="47">
        <f t="shared" si="9"/>
        <v>0</v>
      </c>
      <c r="Q24" s="38">
        <f t="shared" si="10"/>
        <v>0.24060539523212043</v>
      </c>
    </row>
    <row r="25" spans="1:17" ht="21.75" customHeight="1" x14ac:dyDescent="0.25">
      <c r="A25" s="32" t="s">
        <v>52</v>
      </c>
      <c r="B25" s="23" t="s">
        <v>53</v>
      </c>
      <c r="C25" s="24">
        <v>4000</v>
      </c>
      <c r="D25" s="45">
        <v>710</v>
      </c>
      <c r="E25" s="24">
        <v>4710</v>
      </c>
      <c r="F25" s="24">
        <v>4210</v>
      </c>
      <c r="G25" s="24">
        <v>0</v>
      </c>
      <c r="H25" s="24">
        <v>0</v>
      </c>
      <c r="I25" s="46">
        <v>3180.88</v>
      </c>
      <c r="J25" s="27">
        <f t="shared" si="12"/>
        <v>1029.1199999999999</v>
      </c>
      <c r="K25" s="28">
        <f t="shared" si="11"/>
        <v>1529.12</v>
      </c>
      <c r="L25" s="36">
        <f t="shared" si="6"/>
        <v>500</v>
      </c>
      <c r="M25" s="24">
        <v>385.2</v>
      </c>
      <c r="N25" s="27">
        <f t="shared" si="7"/>
        <v>2795.6800000000003</v>
      </c>
      <c r="O25" s="37">
        <f t="shared" si="8"/>
        <v>0.75555344418052262</v>
      </c>
      <c r="P25" s="47">
        <f t="shared" si="9"/>
        <v>0</v>
      </c>
      <c r="Q25" s="38">
        <f t="shared" si="10"/>
        <v>0.67534607218683651</v>
      </c>
    </row>
    <row r="26" spans="1:17" ht="21.75" customHeight="1" x14ac:dyDescent="0.25">
      <c r="A26" s="32" t="s">
        <v>54</v>
      </c>
      <c r="B26" s="23" t="s">
        <v>55</v>
      </c>
      <c r="C26" s="24">
        <v>3000</v>
      </c>
      <c r="D26" s="45"/>
      <c r="E26" s="24">
        <v>3000</v>
      </c>
      <c r="F26" s="24">
        <v>2500</v>
      </c>
      <c r="G26" s="24">
        <v>0</v>
      </c>
      <c r="H26" s="24">
        <v>0</v>
      </c>
      <c r="I26" s="46">
        <v>721.82</v>
      </c>
      <c r="J26" s="27">
        <f t="shared" si="12"/>
        <v>1778.1799999999998</v>
      </c>
      <c r="K26" s="28">
        <f t="shared" si="11"/>
        <v>2278.1799999999998</v>
      </c>
      <c r="L26" s="36">
        <f t="shared" si="6"/>
        <v>500</v>
      </c>
      <c r="M26" s="24">
        <v>0</v>
      </c>
      <c r="N26" s="27">
        <f t="shared" si="7"/>
        <v>721.82</v>
      </c>
      <c r="O26" s="37">
        <f t="shared" si="8"/>
        <v>0.28872800000000004</v>
      </c>
      <c r="P26" s="47">
        <f t="shared" si="9"/>
        <v>0</v>
      </c>
      <c r="Q26" s="38">
        <f t="shared" si="10"/>
        <v>0.24060666666666669</v>
      </c>
    </row>
    <row r="27" spans="1:17" ht="21.75" customHeight="1" x14ac:dyDescent="0.25">
      <c r="A27" s="32" t="s">
        <v>56</v>
      </c>
      <c r="B27" s="23" t="s">
        <v>57</v>
      </c>
      <c r="C27" s="24">
        <v>3000</v>
      </c>
      <c r="D27" s="45"/>
      <c r="E27" s="24">
        <v>3000</v>
      </c>
      <c r="F27" s="24">
        <v>2500</v>
      </c>
      <c r="G27" s="24">
        <v>0</v>
      </c>
      <c r="H27" s="24">
        <v>0</v>
      </c>
      <c r="I27" s="46">
        <v>721.82</v>
      </c>
      <c r="J27" s="27">
        <f t="shared" si="12"/>
        <v>1778.1799999999998</v>
      </c>
      <c r="K27" s="28">
        <f t="shared" si="11"/>
        <v>2278.1799999999998</v>
      </c>
      <c r="L27" s="36">
        <f t="shared" si="6"/>
        <v>500</v>
      </c>
      <c r="M27" s="24">
        <v>0</v>
      </c>
      <c r="N27" s="27">
        <f t="shared" si="7"/>
        <v>721.82</v>
      </c>
      <c r="O27" s="37">
        <f t="shared" si="8"/>
        <v>0.28872800000000004</v>
      </c>
      <c r="P27" s="47">
        <f t="shared" si="9"/>
        <v>0</v>
      </c>
      <c r="Q27" s="38">
        <f t="shared" si="10"/>
        <v>0.24060666666666669</v>
      </c>
    </row>
    <row r="28" spans="1:17" ht="21.75" customHeight="1" x14ac:dyDescent="0.25">
      <c r="A28" s="32">
        <v>111</v>
      </c>
      <c r="B28" s="23" t="s">
        <v>58</v>
      </c>
      <c r="C28" s="24">
        <v>2000</v>
      </c>
      <c r="D28" s="45"/>
      <c r="E28" s="24">
        <v>2000</v>
      </c>
      <c r="F28" s="24">
        <v>1600</v>
      </c>
      <c r="G28" s="24">
        <v>0</v>
      </c>
      <c r="H28" s="24">
        <v>0</v>
      </c>
      <c r="I28" s="46">
        <v>59.5</v>
      </c>
      <c r="J28" s="27">
        <f t="shared" si="12"/>
        <v>1540.5</v>
      </c>
      <c r="K28" s="28">
        <f t="shared" si="11"/>
        <v>1940.5</v>
      </c>
      <c r="L28" s="36">
        <f t="shared" si="6"/>
        <v>400</v>
      </c>
      <c r="M28" s="24">
        <v>59.5</v>
      </c>
      <c r="N28" s="27">
        <f t="shared" si="7"/>
        <v>0</v>
      </c>
      <c r="O28" s="37">
        <f t="shared" si="8"/>
        <v>3.7187499999999998E-2</v>
      </c>
      <c r="P28" s="47">
        <f t="shared" si="9"/>
        <v>0</v>
      </c>
      <c r="Q28" s="38">
        <f t="shared" si="10"/>
        <v>2.9749999999999999E-2</v>
      </c>
    </row>
    <row r="29" spans="1:17" ht="21.75" customHeight="1" x14ac:dyDescent="0.25">
      <c r="A29" s="32" t="s">
        <v>59</v>
      </c>
      <c r="B29" s="23" t="s">
        <v>60</v>
      </c>
      <c r="C29" s="24">
        <v>1000</v>
      </c>
      <c r="D29" s="45"/>
      <c r="E29" s="24">
        <v>1000</v>
      </c>
      <c r="F29" s="24">
        <v>800</v>
      </c>
      <c r="G29" s="24">
        <v>0</v>
      </c>
      <c r="H29" s="24">
        <v>0</v>
      </c>
      <c r="I29" s="46">
        <v>0</v>
      </c>
      <c r="J29" s="27">
        <f t="shared" si="12"/>
        <v>800</v>
      </c>
      <c r="K29" s="28">
        <f t="shared" si="11"/>
        <v>1000</v>
      </c>
      <c r="L29" s="36">
        <f t="shared" si="6"/>
        <v>200</v>
      </c>
      <c r="M29" s="24">
        <v>0</v>
      </c>
      <c r="N29" s="27">
        <f t="shared" si="7"/>
        <v>0</v>
      </c>
      <c r="O29" s="37">
        <f t="shared" si="8"/>
        <v>0</v>
      </c>
      <c r="P29" s="47">
        <f t="shared" si="9"/>
        <v>0</v>
      </c>
      <c r="Q29" s="38">
        <f t="shared" si="10"/>
        <v>0</v>
      </c>
    </row>
    <row r="30" spans="1:17" ht="21.75" customHeight="1" x14ac:dyDescent="0.25">
      <c r="A30" s="32" t="s">
        <v>61</v>
      </c>
      <c r="B30" s="23" t="s">
        <v>62</v>
      </c>
      <c r="C30" s="24">
        <v>500</v>
      </c>
      <c r="D30" s="45"/>
      <c r="E30" s="24">
        <v>500</v>
      </c>
      <c r="F30" s="24">
        <v>400</v>
      </c>
      <c r="G30" s="24">
        <v>0</v>
      </c>
      <c r="H30" s="24">
        <v>0</v>
      </c>
      <c r="I30" s="46">
        <v>40</v>
      </c>
      <c r="J30" s="27">
        <f t="shared" si="12"/>
        <v>360</v>
      </c>
      <c r="K30" s="28">
        <f t="shared" si="11"/>
        <v>460</v>
      </c>
      <c r="L30" s="36">
        <f t="shared" si="6"/>
        <v>100</v>
      </c>
      <c r="M30" s="24">
        <v>40</v>
      </c>
      <c r="N30" s="27">
        <f t="shared" si="7"/>
        <v>0</v>
      </c>
      <c r="O30" s="37">
        <f t="shared" si="8"/>
        <v>0.1</v>
      </c>
      <c r="P30" s="47">
        <f t="shared" si="9"/>
        <v>0</v>
      </c>
      <c r="Q30" s="38">
        <f t="shared" si="10"/>
        <v>0.08</v>
      </c>
    </row>
    <row r="31" spans="1:17" ht="21.75" customHeight="1" x14ac:dyDescent="0.25">
      <c r="A31" s="32" t="s">
        <v>63</v>
      </c>
      <c r="B31" s="23" t="s">
        <v>64</v>
      </c>
      <c r="C31" s="24">
        <v>28500</v>
      </c>
      <c r="D31" s="45"/>
      <c r="E31" s="24">
        <v>28500</v>
      </c>
      <c r="F31" s="24">
        <v>22800</v>
      </c>
      <c r="G31" s="24">
        <v>0</v>
      </c>
      <c r="H31" s="24">
        <v>3701.2</v>
      </c>
      <c r="I31" s="46">
        <f>SUM(9624+H31)</f>
        <v>13325.2</v>
      </c>
      <c r="J31" s="27">
        <f t="shared" si="12"/>
        <v>13176</v>
      </c>
      <c r="K31" s="28">
        <f t="shared" si="11"/>
        <v>15174.8</v>
      </c>
      <c r="L31" s="36">
        <f t="shared" si="6"/>
        <v>5700</v>
      </c>
      <c r="M31" s="24">
        <v>6900.76</v>
      </c>
      <c r="N31" s="27">
        <f t="shared" si="7"/>
        <v>6424.4400000000005</v>
      </c>
      <c r="O31" s="37">
        <f t="shared" si="8"/>
        <v>0.58443859649122809</v>
      </c>
      <c r="P31" s="47">
        <f t="shared" si="9"/>
        <v>0.12986666666666666</v>
      </c>
      <c r="Q31" s="38">
        <f t="shared" si="10"/>
        <v>0.46755087719298249</v>
      </c>
    </row>
    <row r="32" spans="1:17" ht="21.75" customHeight="1" x14ac:dyDescent="0.25">
      <c r="A32" s="32" t="s">
        <v>65</v>
      </c>
      <c r="B32" s="23" t="s">
        <v>66</v>
      </c>
      <c r="C32" s="24">
        <v>15000</v>
      </c>
      <c r="D32" s="45">
        <v>1921</v>
      </c>
      <c r="E32" s="24">
        <v>16921</v>
      </c>
      <c r="F32" s="24">
        <v>13921</v>
      </c>
      <c r="G32" s="24">
        <v>0</v>
      </c>
      <c r="H32" s="24">
        <v>1277.94</v>
      </c>
      <c r="I32" s="46">
        <f>SUM(12369+H32)</f>
        <v>13646.94</v>
      </c>
      <c r="J32" s="27">
        <f t="shared" si="12"/>
        <v>1551.9999999999995</v>
      </c>
      <c r="K32" s="28">
        <f t="shared" si="11"/>
        <v>3274.0599999999995</v>
      </c>
      <c r="L32" s="36">
        <f t="shared" si="6"/>
        <v>3000</v>
      </c>
      <c r="M32" s="24">
        <v>7179.07</v>
      </c>
      <c r="N32" s="27">
        <f t="shared" si="7"/>
        <v>6467.8700000000008</v>
      </c>
      <c r="O32" s="37">
        <f t="shared" si="8"/>
        <v>0.98031319589109978</v>
      </c>
      <c r="P32" s="47">
        <f t="shared" si="9"/>
        <v>7.5523905206548086E-2</v>
      </c>
      <c r="Q32" s="38">
        <f t="shared" si="10"/>
        <v>0.80650907156787421</v>
      </c>
    </row>
    <row r="33" spans="1:17" ht="21.75" customHeight="1" x14ac:dyDescent="0.25">
      <c r="A33" s="32" t="s">
        <v>67</v>
      </c>
      <c r="B33" s="23" t="s">
        <v>68</v>
      </c>
      <c r="C33" s="24">
        <v>25000</v>
      </c>
      <c r="D33" s="45"/>
      <c r="E33" s="24">
        <v>25000</v>
      </c>
      <c r="F33" s="24">
        <v>25000</v>
      </c>
      <c r="G33" s="24">
        <v>0</v>
      </c>
      <c r="H33" s="24">
        <v>0</v>
      </c>
      <c r="I33" s="46">
        <v>0</v>
      </c>
      <c r="J33" s="27">
        <f t="shared" si="12"/>
        <v>25000</v>
      </c>
      <c r="K33" s="28">
        <f t="shared" si="11"/>
        <v>25000</v>
      </c>
      <c r="L33" s="36">
        <f t="shared" si="6"/>
        <v>0</v>
      </c>
      <c r="M33" s="24">
        <v>0</v>
      </c>
      <c r="N33" s="27">
        <f t="shared" si="7"/>
        <v>0</v>
      </c>
      <c r="O33" s="37">
        <f t="shared" si="8"/>
        <v>0</v>
      </c>
      <c r="P33" s="47">
        <f t="shared" si="9"/>
        <v>0</v>
      </c>
      <c r="Q33" s="38">
        <f t="shared" si="10"/>
        <v>0</v>
      </c>
    </row>
    <row r="34" spans="1:17" ht="21.75" customHeight="1" x14ac:dyDescent="0.25">
      <c r="A34" s="32">
        <v>117</v>
      </c>
      <c r="B34" s="23" t="s">
        <v>69</v>
      </c>
      <c r="C34" s="24">
        <v>10000</v>
      </c>
      <c r="D34" s="45"/>
      <c r="E34" s="24">
        <v>10000</v>
      </c>
      <c r="F34" s="24">
        <v>10000</v>
      </c>
      <c r="G34" s="24">
        <v>0</v>
      </c>
      <c r="H34" s="24">
        <v>0</v>
      </c>
      <c r="I34" s="46">
        <v>1926</v>
      </c>
      <c r="J34" s="27">
        <f t="shared" si="12"/>
        <v>8074</v>
      </c>
      <c r="K34" s="28">
        <f t="shared" si="11"/>
        <v>8074</v>
      </c>
      <c r="L34" s="36">
        <f t="shared" si="6"/>
        <v>0</v>
      </c>
      <c r="M34" s="24">
        <v>642</v>
      </c>
      <c r="N34" s="27">
        <f t="shared" si="7"/>
        <v>1284</v>
      </c>
      <c r="O34" s="37">
        <f t="shared" si="8"/>
        <v>0.19259999999999999</v>
      </c>
      <c r="P34" s="47">
        <f t="shared" si="9"/>
        <v>0</v>
      </c>
      <c r="Q34" s="38">
        <f t="shared" si="10"/>
        <v>0.19259999999999999</v>
      </c>
    </row>
    <row r="35" spans="1:17" ht="21.75" customHeight="1" x14ac:dyDescent="0.25">
      <c r="A35" s="32" t="s">
        <v>70</v>
      </c>
      <c r="B35" s="23" t="s">
        <v>71</v>
      </c>
      <c r="C35" s="24">
        <v>10000</v>
      </c>
      <c r="D35" s="45">
        <v>3959</v>
      </c>
      <c r="E35" s="24">
        <v>13959</v>
      </c>
      <c r="F35" s="24">
        <v>13959</v>
      </c>
      <c r="G35" s="24">
        <v>0</v>
      </c>
      <c r="H35" s="24">
        <v>256.8</v>
      </c>
      <c r="I35" s="46">
        <f>SUM(5796+H35)</f>
        <v>6052.8</v>
      </c>
      <c r="J35" s="27">
        <f t="shared" si="12"/>
        <v>8163</v>
      </c>
      <c r="K35" s="28">
        <f t="shared" si="11"/>
        <v>7906.2</v>
      </c>
      <c r="L35" s="36">
        <f t="shared" si="6"/>
        <v>0</v>
      </c>
      <c r="M35" s="24">
        <v>0</v>
      </c>
      <c r="N35" s="27">
        <f t="shared" si="7"/>
        <v>6052.8</v>
      </c>
      <c r="O35" s="37">
        <f t="shared" si="8"/>
        <v>0.4336127229744251</v>
      </c>
      <c r="P35" s="47">
        <f t="shared" si="9"/>
        <v>1.8396733290350312E-2</v>
      </c>
      <c r="Q35" s="38">
        <f t="shared" si="10"/>
        <v>0.4336127229744251</v>
      </c>
    </row>
    <row r="36" spans="1:17" ht="21.75" customHeight="1" x14ac:dyDescent="0.25">
      <c r="A36" s="48">
        <v>131</v>
      </c>
      <c r="B36" s="49" t="s">
        <v>72</v>
      </c>
      <c r="C36" s="24">
        <v>10000</v>
      </c>
      <c r="D36" s="50"/>
      <c r="E36" s="24">
        <v>10000</v>
      </c>
      <c r="F36" s="24">
        <v>9000</v>
      </c>
      <c r="G36" s="24">
        <v>0</v>
      </c>
      <c r="H36" s="24">
        <v>0</v>
      </c>
      <c r="I36" s="46">
        <v>2754.66</v>
      </c>
      <c r="J36" s="27">
        <f t="shared" si="12"/>
        <v>6245.34</v>
      </c>
      <c r="K36" s="28">
        <f t="shared" si="11"/>
        <v>7245.34</v>
      </c>
      <c r="L36" s="36">
        <f t="shared" si="6"/>
        <v>1000</v>
      </c>
      <c r="M36" s="51">
        <v>0</v>
      </c>
      <c r="N36" s="27">
        <f t="shared" si="7"/>
        <v>2754.66</v>
      </c>
      <c r="O36" s="37">
        <f t="shared" si="8"/>
        <v>0.30607333333333331</v>
      </c>
      <c r="P36" s="47">
        <f t="shared" si="9"/>
        <v>0</v>
      </c>
      <c r="Q36" s="38">
        <f t="shared" si="10"/>
        <v>0.27546599999999999</v>
      </c>
    </row>
    <row r="37" spans="1:17" ht="21.75" customHeight="1" x14ac:dyDescent="0.25">
      <c r="A37" s="32" t="s">
        <v>73</v>
      </c>
      <c r="B37" s="23" t="s">
        <v>74</v>
      </c>
      <c r="C37" s="24">
        <v>30000</v>
      </c>
      <c r="D37" s="45">
        <v>-1715</v>
      </c>
      <c r="E37" s="24">
        <v>28285</v>
      </c>
      <c r="F37" s="24">
        <v>28285</v>
      </c>
      <c r="G37" s="24">
        <v>0</v>
      </c>
      <c r="H37" s="24">
        <v>5690.47</v>
      </c>
      <c r="I37" s="46">
        <f>SUM(21412+H37)</f>
        <v>27102.47</v>
      </c>
      <c r="J37" s="27">
        <f t="shared" si="12"/>
        <v>6872.9999999999991</v>
      </c>
      <c r="K37" s="28">
        <f t="shared" si="11"/>
        <v>1182.5299999999988</v>
      </c>
      <c r="L37" s="36">
        <f t="shared" si="6"/>
        <v>0</v>
      </c>
      <c r="M37" s="24">
        <v>689.51</v>
      </c>
      <c r="N37" s="27">
        <f t="shared" si="7"/>
        <v>26412.960000000003</v>
      </c>
      <c r="O37" s="37">
        <f t="shared" si="8"/>
        <v>0.95819232808909316</v>
      </c>
      <c r="P37" s="47">
        <f t="shared" si="9"/>
        <v>0.20118331270991693</v>
      </c>
      <c r="Q37" s="38">
        <f t="shared" si="10"/>
        <v>0.95819232808909316</v>
      </c>
    </row>
    <row r="38" spans="1:17" ht="21.75" customHeight="1" x14ac:dyDescent="0.25">
      <c r="A38" s="32" t="s">
        <v>75</v>
      </c>
      <c r="B38" s="23" t="s">
        <v>76</v>
      </c>
      <c r="C38" s="24">
        <v>15250</v>
      </c>
      <c r="D38" s="25"/>
      <c r="E38" s="24">
        <v>15250</v>
      </c>
      <c r="F38" s="24">
        <v>13625</v>
      </c>
      <c r="G38" s="24">
        <v>0</v>
      </c>
      <c r="H38" s="24">
        <v>244</v>
      </c>
      <c r="I38" s="46">
        <f>SUM(6387+H38)</f>
        <v>6631</v>
      </c>
      <c r="J38" s="27">
        <f t="shared" si="12"/>
        <v>7238</v>
      </c>
      <c r="K38" s="28">
        <f t="shared" si="11"/>
        <v>8619</v>
      </c>
      <c r="L38" s="36">
        <f t="shared" si="6"/>
        <v>1625</v>
      </c>
      <c r="M38" s="24">
        <v>3579</v>
      </c>
      <c r="N38" s="27">
        <f t="shared" si="7"/>
        <v>3052</v>
      </c>
      <c r="O38" s="37">
        <f t="shared" si="8"/>
        <v>0.48667889908256878</v>
      </c>
      <c r="P38" s="47">
        <f t="shared" si="9"/>
        <v>1.6E-2</v>
      </c>
      <c r="Q38" s="38">
        <f t="shared" si="10"/>
        <v>0.43481967213114753</v>
      </c>
    </row>
    <row r="39" spans="1:17" ht="21.75" customHeight="1" x14ac:dyDescent="0.25">
      <c r="A39" s="32" t="s">
        <v>77</v>
      </c>
      <c r="B39" s="23" t="s">
        <v>78</v>
      </c>
      <c r="C39" s="24">
        <v>45000</v>
      </c>
      <c r="D39" s="25">
        <v>2000</v>
      </c>
      <c r="E39" s="24">
        <v>47000</v>
      </c>
      <c r="F39" s="24">
        <v>47000</v>
      </c>
      <c r="G39" s="24">
        <v>0</v>
      </c>
      <c r="H39" s="24">
        <v>1600</v>
      </c>
      <c r="I39" s="46">
        <f>SUM(29914+H39)</f>
        <v>31514</v>
      </c>
      <c r="J39" s="27">
        <f t="shared" si="12"/>
        <v>17086</v>
      </c>
      <c r="K39" s="28">
        <f t="shared" si="11"/>
        <v>15486</v>
      </c>
      <c r="L39" s="36">
        <f t="shared" si="6"/>
        <v>0</v>
      </c>
      <c r="M39" s="24">
        <v>24500</v>
      </c>
      <c r="N39" s="27">
        <f t="shared" si="7"/>
        <v>7014</v>
      </c>
      <c r="O39" s="37">
        <f t="shared" si="8"/>
        <v>0.67051063829787239</v>
      </c>
      <c r="P39" s="47">
        <f t="shared" si="9"/>
        <v>3.4042553191489362E-2</v>
      </c>
      <c r="Q39" s="38">
        <f t="shared" si="10"/>
        <v>0.67051063829787239</v>
      </c>
    </row>
    <row r="40" spans="1:17" ht="21.75" customHeight="1" x14ac:dyDescent="0.25">
      <c r="A40" s="32">
        <v>143</v>
      </c>
      <c r="B40" s="23" t="s">
        <v>192</v>
      </c>
      <c r="C40" s="24"/>
      <c r="D40" s="25">
        <v>1000</v>
      </c>
      <c r="E40" s="24">
        <v>1000</v>
      </c>
      <c r="F40" s="24">
        <v>1000</v>
      </c>
      <c r="G40" s="24"/>
      <c r="H40" s="24">
        <v>0</v>
      </c>
      <c r="I40" s="46">
        <v>0</v>
      </c>
      <c r="J40" s="27">
        <f t="shared" si="12"/>
        <v>1000</v>
      </c>
      <c r="K40" s="28">
        <f t="shared" si="11"/>
        <v>1000</v>
      </c>
      <c r="L40" s="36">
        <f t="shared" si="6"/>
        <v>0</v>
      </c>
      <c r="M40" s="24"/>
      <c r="N40" s="27"/>
      <c r="O40" s="37">
        <f t="shared" si="8"/>
        <v>0</v>
      </c>
      <c r="P40" s="47">
        <f t="shared" si="9"/>
        <v>0</v>
      </c>
      <c r="Q40" s="38">
        <f t="shared" si="10"/>
        <v>0</v>
      </c>
    </row>
    <row r="41" spans="1:17" ht="21.75" customHeight="1" x14ac:dyDescent="0.25">
      <c r="A41" s="32" t="s">
        <v>79</v>
      </c>
      <c r="B41" s="23" t="s">
        <v>80</v>
      </c>
      <c r="C41" s="24">
        <v>13000</v>
      </c>
      <c r="D41" s="25"/>
      <c r="E41" s="24">
        <v>13000</v>
      </c>
      <c r="F41" s="24">
        <v>11000</v>
      </c>
      <c r="G41" s="24">
        <v>0</v>
      </c>
      <c r="H41" s="24">
        <v>0</v>
      </c>
      <c r="I41" s="46">
        <v>4735.8900000000003</v>
      </c>
      <c r="J41" s="27">
        <f t="shared" si="12"/>
        <v>6264.11</v>
      </c>
      <c r="K41" s="28">
        <f t="shared" si="11"/>
        <v>8264.11</v>
      </c>
      <c r="L41" s="25">
        <f t="shared" si="6"/>
        <v>2000</v>
      </c>
      <c r="M41" s="24">
        <v>2117.5</v>
      </c>
      <c r="N41" s="27">
        <f t="shared" ref="N41:N52" si="13">SUM(I41-M41)</f>
        <v>2618.3900000000003</v>
      </c>
      <c r="O41" s="37">
        <f t="shared" si="8"/>
        <v>0.43053545454545455</v>
      </c>
      <c r="P41" s="47">
        <f t="shared" si="9"/>
        <v>0</v>
      </c>
      <c r="Q41" s="38">
        <f t="shared" si="10"/>
        <v>0.36429923076923082</v>
      </c>
    </row>
    <row r="42" spans="1:17" ht="21.75" customHeight="1" x14ac:dyDescent="0.25">
      <c r="A42" s="52" t="s">
        <v>81</v>
      </c>
      <c r="B42" s="53" t="s">
        <v>82</v>
      </c>
      <c r="C42" s="24">
        <v>40000</v>
      </c>
      <c r="D42" s="54"/>
      <c r="E42" s="24">
        <v>40000</v>
      </c>
      <c r="F42" s="24">
        <v>40000</v>
      </c>
      <c r="G42" s="24">
        <v>0</v>
      </c>
      <c r="H42" s="24">
        <v>0</v>
      </c>
      <c r="I42" s="46">
        <v>21478.080000000002</v>
      </c>
      <c r="J42" s="27">
        <f t="shared" si="12"/>
        <v>18521.919999999998</v>
      </c>
      <c r="K42" s="28">
        <f t="shared" si="11"/>
        <v>18521.919999999998</v>
      </c>
      <c r="L42" s="25">
        <f t="shared" si="6"/>
        <v>0</v>
      </c>
      <c r="M42" s="24">
        <v>10438.25</v>
      </c>
      <c r="N42" s="27">
        <f t="shared" si="13"/>
        <v>11039.830000000002</v>
      </c>
      <c r="O42" s="37">
        <f t="shared" si="8"/>
        <v>0.5369520000000001</v>
      </c>
      <c r="P42" s="47">
        <f t="shared" si="9"/>
        <v>0</v>
      </c>
      <c r="Q42" s="38">
        <f t="shared" si="10"/>
        <v>0.5369520000000001</v>
      </c>
    </row>
    <row r="43" spans="1:17" ht="21.75" customHeight="1" x14ac:dyDescent="0.25">
      <c r="A43" s="32" t="s">
        <v>83</v>
      </c>
      <c r="B43" s="55" t="s">
        <v>84</v>
      </c>
      <c r="C43" s="24">
        <v>1500</v>
      </c>
      <c r="D43" s="56"/>
      <c r="E43" s="24">
        <v>1500</v>
      </c>
      <c r="F43" s="24">
        <v>1500</v>
      </c>
      <c r="G43" s="24">
        <v>0</v>
      </c>
      <c r="H43" s="24">
        <v>0</v>
      </c>
      <c r="I43" s="46">
        <v>360.91</v>
      </c>
      <c r="J43" s="27">
        <f t="shared" si="12"/>
        <v>1139.0899999999999</v>
      </c>
      <c r="K43" s="28">
        <f t="shared" si="11"/>
        <v>1139.0899999999999</v>
      </c>
      <c r="L43" s="24">
        <f t="shared" si="6"/>
        <v>0</v>
      </c>
      <c r="M43" s="24">
        <v>0</v>
      </c>
      <c r="N43" s="24">
        <f t="shared" si="13"/>
        <v>360.91</v>
      </c>
      <c r="O43" s="37">
        <f t="shared" si="8"/>
        <v>0.24060666666666669</v>
      </c>
      <c r="P43" s="47">
        <f t="shared" si="9"/>
        <v>0</v>
      </c>
      <c r="Q43" s="38">
        <f t="shared" si="10"/>
        <v>0.24060666666666669</v>
      </c>
    </row>
    <row r="44" spans="1:17" ht="21.75" customHeight="1" x14ac:dyDescent="0.25">
      <c r="A44" s="32">
        <v>154</v>
      </c>
      <c r="B44" s="55" t="s">
        <v>85</v>
      </c>
      <c r="C44" s="24">
        <v>500</v>
      </c>
      <c r="D44" s="56"/>
      <c r="E44" s="24">
        <v>500</v>
      </c>
      <c r="F44" s="24">
        <v>400</v>
      </c>
      <c r="G44" s="24">
        <v>0</v>
      </c>
      <c r="H44" s="24">
        <v>0</v>
      </c>
      <c r="I44" s="46">
        <v>176.88</v>
      </c>
      <c r="J44" s="27">
        <f t="shared" si="12"/>
        <v>223.12</v>
      </c>
      <c r="K44" s="28">
        <f t="shared" si="11"/>
        <v>323.12</v>
      </c>
      <c r="L44" s="24">
        <f t="shared" si="6"/>
        <v>100</v>
      </c>
      <c r="M44" s="24">
        <v>75</v>
      </c>
      <c r="N44" s="24">
        <f t="shared" si="13"/>
        <v>101.88</v>
      </c>
      <c r="O44" s="37">
        <f t="shared" si="8"/>
        <v>0.44219999999999998</v>
      </c>
      <c r="P44" s="47">
        <f t="shared" si="9"/>
        <v>0</v>
      </c>
      <c r="Q44" s="38">
        <f t="shared" si="10"/>
        <v>0.35375999999999996</v>
      </c>
    </row>
    <row r="45" spans="1:17" ht="21.75" customHeight="1" x14ac:dyDescent="0.25">
      <c r="A45" s="32" t="s">
        <v>86</v>
      </c>
      <c r="B45" s="55" t="s">
        <v>87</v>
      </c>
      <c r="C45" s="24">
        <v>13000</v>
      </c>
      <c r="D45" s="24"/>
      <c r="E45" s="24">
        <v>13000</v>
      </c>
      <c r="F45" s="24">
        <v>12500</v>
      </c>
      <c r="G45" s="24">
        <v>0</v>
      </c>
      <c r="H45" s="24">
        <v>0</v>
      </c>
      <c r="I45" s="46">
        <v>7922.69</v>
      </c>
      <c r="J45" s="27">
        <f t="shared" si="12"/>
        <v>4577.3100000000004</v>
      </c>
      <c r="K45" s="28">
        <f t="shared" si="11"/>
        <v>5077.3100000000004</v>
      </c>
      <c r="L45" s="24">
        <f t="shared" si="6"/>
        <v>500</v>
      </c>
      <c r="M45" s="24">
        <v>2938.45</v>
      </c>
      <c r="N45" s="24">
        <f t="shared" si="13"/>
        <v>4984.24</v>
      </c>
      <c r="O45" s="37">
        <f t="shared" si="8"/>
        <v>0.63381520000000002</v>
      </c>
      <c r="P45" s="47">
        <f t="shared" si="9"/>
        <v>0</v>
      </c>
      <c r="Q45" s="38">
        <f t="shared" si="10"/>
        <v>0.60943769230769229</v>
      </c>
    </row>
    <row r="46" spans="1:17" ht="21.75" customHeight="1" x14ac:dyDescent="0.25">
      <c r="A46" s="32">
        <v>165</v>
      </c>
      <c r="B46" s="55" t="s">
        <v>88</v>
      </c>
      <c r="C46" s="24">
        <v>0</v>
      </c>
      <c r="D46" s="24">
        <v>3800</v>
      </c>
      <c r="E46" s="24">
        <v>3800</v>
      </c>
      <c r="F46" s="24">
        <v>3800</v>
      </c>
      <c r="G46" s="24">
        <v>0</v>
      </c>
      <c r="H46" s="24">
        <v>0</v>
      </c>
      <c r="I46" s="46">
        <v>3006.04</v>
      </c>
      <c r="J46" s="27">
        <f t="shared" si="12"/>
        <v>793.96</v>
      </c>
      <c r="K46" s="28">
        <f t="shared" si="11"/>
        <v>793.96</v>
      </c>
      <c r="L46" s="24">
        <f t="shared" si="6"/>
        <v>0</v>
      </c>
      <c r="M46" s="24">
        <v>2454.88</v>
      </c>
      <c r="N46" s="24">
        <f t="shared" si="13"/>
        <v>551.15999999999985</v>
      </c>
      <c r="O46" s="37">
        <f t="shared" si="8"/>
        <v>0.7910631578947368</v>
      </c>
      <c r="P46" s="47">
        <f t="shared" si="9"/>
        <v>0</v>
      </c>
      <c r="Q46" s="38">
        <f t="shared" si="10"/>
        <v>0.7910631578947368</v>
      </c>
    </row>
    <row r="47" spans="1:17" ht="21.75" customHeight="1" x14ac:dyDescent="0.25">
      <c r="A47" s="32" t="s">
        <v>89</v>
      </c>
      <c r="B47" s="55" t="s">
        <v>90</v>
      </c>
      <c r="C47" s="24">
        <v>20500</v>
      </c>
      <c r="D47" s="56"/>
      <c r="E47" s="24">
        <v>20500</v>
      </c>
      <c r="F47" s="24">
        <v>18000</v>
      </c>
      <c r="G47" s="24">
        <v>0</v>
      </c>
      <c r="H47" s="24">
        <v>579.15</v>
      </c>
      <c r="I47" s="46">
        <f>SUM(13045+H47)</f>
        <v>13624.15</v>
      </c>
      <c r="J47" s="27">
        <f t="shared" si="12"/>
        <v>4955</v>
      </c>
      <c r="K47" s="28">
        <f t="shared" si="11"/>
        <v>6875.85</v>
      </c>
      <c r="L47" s="24">
        <f t="shared" si="6"/>
        <v>2500</v>
      </c>
      <c r="M47" s="24">
        <v>1571.07</v>
      </c>
      <c r="N47" s="24">
        <f t="shared" si="13"/>
        <v>12053.08</v>
      </c>
      <c r="O47" s="37">
        <f t="shared" si="8"/>
        <v>0.75689722222222222</v>
      </c>
      <c r="P47" s="47">
        <f t="shared" si="9"/>
        <v>2.8251219512195121E-2</v>
      </c>
      <c r="Q47" s="38">
        <f t="shared" si="10"/>
        <v>0.66459268292682927</v>
      </c>
    </row>
    <row r="48" spans="1:17" ht="21.75" customHeight="1" x14ac:dyDescent="0.25">
      <c r="A48" s="32" t="s">
        <v>91</v>
      </c>
      <c r="B48" s="55" t="s">
        <v>92</v>
      </c>
      <c r="C48" s="24">
        <v>15000</v>
      </c>
      <c r="D48" s="24">
        <v>-2800</v>
      </c>
      <c r="E48" s="24">
        <v>12200</v>
      </c>
      <c r="F48" s="24">
        <v>12200</v>
      </c>
      <c r="G48" s="24">
        <v>0</v>
      </c>
      <c r="H48" s="24">
        <v>0</v>
      </c>
      <c r="I48" s="46">
        <v>12135.39</v>
      </c>
      <c r="J48" s="27">
        <f t="shared" si="12"/>
        <v>64.610000000000582</v>
      </c>
      <c r="K48" s="28">
        <f t="shared" si="11"/>
        <v>64.610000000000582</v>
      </c>
      <c r="L48" s="24">
        <f t="shared" si="6"/>
        <v>0</v>
      </c>
      <c r="M48" s="24">
        <v>0</v>
      </c>
      <c r="N48" s="57">
        <f t="shared" si="13"/>
        <v>12135.39</v>
      </c>
      <c r="O48" s="37">
        <f t="shared" si="8"/>
        <v>0.99470409836065565</v>
      </c>
      <c r="P48" s="47">
        <f t="shared" si="9"/>
        <v>0</v>
      </c>
      <c r="Q48" s="38">
        <f t="shared" si="10"/>
        <v>0.99470409836065565</v>
      </c>
    </row>
    <row r="49" spans="1:17" ht="21.75" customHeight="1" x14ac:dyDescent="0.25">
      <c r="A49" s="32" t="s">
        <v>93</v>
      </c>
      <c r="B49" s="23" t="s">
        <v>94</v>
      </c>
      <c r="C49" s="24">
        <v>5000</v>
      </c>
      <c r="D49" s="46"/>
      <c r="E49" s="24">
        <v>5000</v>
      </c>
      <c r="F49" s="24">
        <v>4500</v>
      </c>
      <c r="G49" s="24">
        <v>0</v>
      </c>
      <c r="H49" s="24">
        <v>0</v>
      </c>
      <c r="I49" s="25">
        <v>1203.03</v>
      </c>
      <c r="J49" s="27">
        <f t="shared" si="12"/>
        <v>3296.9700000000003</v>
      </c>
      <c r="K49" s="28">
        <f t="shared" si="11"/>
        <v>3796.9700000000003</v>
      </c>
      <c r="L49" s="24">
        <f t="shared" si="6"/>
        <v>500</v>
      </c>
      <c r="M49" s="24">
        <v>0</v>
      </c>
      <c r="N49" s="57">
        <f t="shared" si="13"/>
        <v>1203.03</v>
      </c>
      <c r="O49" s="37">
        <f t="shared" si="8"/>
        <v>0.26733999999999997</v>
      </c>
      <c r="P49" s="47">
        <f t="shared" si="9"/>
        <v>0</v>
      </c>
      <c r="Q49" s="38">
        <f t="shared" si="10"/>
        <v>0.24060599999999999</v>
      </c>
    </row>
    <row r="50" spans="1:17" ht="21.75" customHeight="1" x14ac:dyDescent="0.25">
      <c r="A50" s="32" t="s">
        <v>95</v>
      </c>
      <c r="B50" s="23" t="s">
        <v>96</v>
      </c>
      <c r="C50" s="24">
        <v>3000</v>
      </c>
      <c r="D50" s="46"/>
      <c r="E50" s="24">
        <v>3000</v>
      </c>
      <c r="F50" s="24">
        <v>3000</v>
      </c>
      <c r="G50" s="24">
        <v>0</v>
      </c>
      <c r="H50" s="24">
        <v>0</v>
      </c>
      <c r="I50" s="25">
        <v>934.55</v>
      </c>
      <c r="J50" s="27">
        <f t="shared" si="12"/>
        <v>2065.4499999999998</v>
      </c>
      <c r="K50" s="28">
        <f t="shared" si="11"/>
        <v>2065.4499999999998</v>
      </c>
      <c r="L50" s="24">
        <f t="shared" si="6"/>
        <v>0</v>
      </c>
      <c r="M50" s="24">
        <v>280</v>
      </c>
      <c r="N50" s="57">
        <f t="shared" si="13"/>
        <v>654.54999999999995</v>
      </c>
      <c r="O50" s="37">
        <f t="shared" si="8"/>
        <v>0.31151666666666666</v>
      </c>
      <c r="P50" s="47">
        <f t="shared" si="9"/>
        <v>0</v>
      </c>
      <c r="Q50" s="38">
        <f t="shared" si="10"/>
        <v>0.31151666666666666</v>
      </c>
    </row>
    <row r="51" spans="1:17" ht="21.75" customHeight="1" x14ac:dyDescent="0.25">
      <c r="A51" s="32" t="s">
        <v>97</v>
      </c>
      <c r="B51" s="23" t="s">
        <v>98</v>
      </c>
      <c r="C51" s="24">
        <v>1000</v>
      </c>
      <c r="D51" s="46"/>
      <c r="E51" s="24">
        <v>1000</v>
      </c>
      <c r="F51" s="24">
        <v>1000</v>
      </c>
      <c r="G51" s="24">
        <v>0</v>
      </c>
      <c r="H51" s="24">
        <v>0</v>
      </c>
      <c r="I51" s="25">
        <v>240.61</v>
      </c>
      <c r="J51" s="27">
        <f t="shared" si="12"/>
        <v>759.39</v>
      </c>
      <c r="K51" s="28">
        <f t="shared" si="11"/>
        <v>759.39</v>
      </c>
      <c r="L51" s="24">
        <f t="shared" si="6"/>
        <v>0</v>
      </c>
      <c r="M51" s="24">
        <v>0</v>
      </c>
      <c r="N51" s="57">
        <f t="shared" si="13"/>
        <v>240.61</v>
      </c>
      <c r="O51" s="37">
        <f t="shared" si="8"/>
        <v>0.24061000000000002</v>
      </c>
      <c r="P51" s="47">
        <f t="shared" si="9"/>
        <v>0</v>
      </c>
      <c r="Q51" s="38">
        <f t="shared" si="10"/>
        <v>0.24061000000000002</v>
      </c>
    </row>
    <row r="52" spans="1:17" ht="21.75" customHeight="1" x14ac:dyDescent="0.25">
      <c r="A52" s="32" t="s">
        <v>99</v>
      </c>
      <c r="B52" s="23" t="s">
        <v>100</v>
      </c>
      <c r="C52" s="24">
        <v>3000</v>
      </c>
      <c r="D52" s="46"/>
      <c r="E52" s="24">
        <v>3000</v>
      </c>
      <c r="F52" s="24">
        <v>2500</v>
      </c>
      <c r="G52" s="24">
        <v>0</v>
      </c>
      <c r="H52" s="24">
        <v>0</v>
      </c>
      <c r="I52" s="25">
        <v>721.82</v>
      </c>
      <c r="J52" s="27">
        <f t="shared" si="12"/>
        <v>1778.1799999999998</v>
      </c>
      <c r="K52" s="28">
        <f t="shared" si="11"/>
        <v>2278.1799999999998</v>
      </c>
      <c r="L52" s="24">
        <f t="shared" si="6"/>
        <v>500</v>
      </c>
      <c r="M52" s="24">
        <v>0</v>
      </c>
      <c r="N52" s="57">
        <f t="shared" si="13"/>
        <v>721.82</v>
      </c>
      <c r="O52" s="37">
        <f t="shared" si="8"/>
        <v>0.28872800000000004</v>
      </c>
      <c r="P52" s="47">
        <f t="shared" si="9"/>
        <v>0</v>
      </c>
      <c r="Q52" s="38">
        <f t="shared" si="10"/>
        <v>0.24060666666666669</v>
      </c>
    </row>
    <row r="53" spans="1:17" ht="21.75" customHeight="1" x14ac:dyDescent="0.25">
      <c r="A53" s="58" t="s">
        <v>101</v>
      </c>
      <c r="B53" s="59" t="s">
        <v>102</v>
      </c>
      <c r="C53" s="24">
        <v>7500</v>
      </c>
      <c r="D53" s="46"/>
      <c r="E53" s="24">
        <v>7500</v>
      </c>
      <c r="F53" s="24">
        <v>6750</v>
      </c>
      <c r="G53" s="24">
        <v>0</v>
      </c>
      <c r="H53" s="24">
        <v>44.94</v>
      </c>
      <c r="I53" s="25">
        <f>SUM(2046+H53)</f>
        <v>2090.94</v>
      </c>
      <c r="J53" s="27">
        <f t="shared" si="12"/>
        <v>4703.9999999999991</v>
      </c>
      <c r="K53" s="28">
        <f t="shared" si="11"/>
        <v>5409.0599999999995</v>
      </c>
      <c r="L53" s="24">
        <f t="shared" si="6"/>
        <v>750</v>
      </c>
      <c r="M53" s="24">
        <v>317.33</v>
      </c>
      <c r="N53" s="57">
        <v>317.33</v>
      </c>
      <c r="O53" s="37">
        <f t="shared" si="8"/>
        <v>0.30976888888888887</v>
      </c>
      <c r="P53" s="47">
        <f t="shared" si="9"/>
        <v>5.9919999999999999E-3</v>
      </c>
      <c r="Q53" s="38">
        <f t="shared" si="10"/>
        <v>0.27879199999999998</v>
      </c>
    </row>
    <row r="54" spans="1:17" ht="21.75" customHeight="1" x14ac:dyDescent="0.25">
      <c r="A54" s="32">
        <v>191</v>
      </c>
      <c r="B54" s="55" t="s">
        <v>103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5">
        <v>0</v>
      </c>
      <c r="J54" s="27">
        <f t="shared" si="12"/>
        <v>0</v>
      </c>
      <c r="K54" s="28">
        <f t="shared" si="11"/>
        <v>0</v>
      </c>
      <c r="L54" s="24">
        <f t="shared" ref="L54:L85" si="14">SUM(E54-F54)</f>
        <v>0</v>
      </c>
      <c r="M54" s="24">
        <v>0</v>
      </c>
      <c r="N54" s="57">
        <f t="shared" ref="N54:N60" si="15">SUM(I54-M54)</f>
        <v>0</v>
      </c>
      <c r="O54" s="37">
        <v>0</v>
      </c>
      <c r="P54" s="47">
        <v>0</v>
      </c>
      <c r="Q54" s="38">
        <v>0</v>
      </c>
    </row>
    <row r="55" spans="1:17" ht="21.75" customHeight="1" x14ac:dyDescent="0.25">
      <c r="A55" s="32">
        <v>192</v>
      </c>
      <c r="B55" s="55" t="s">
        <v>104</v>
      </c>
      <c r="C55" s="24">
        <v>0</v>
      </c>
      <c r="D55" s="24">
        <v>4594</v>
      </c>
      <c r="E55" s="24">
        <v>4594</v>
      </c>
      <c r="F55" s="24">
        <v>4594</v>
      </c>
      <c r="G55" s="24">
        <v>0</v>
      </c>
      <c r="H55" s="24">
        <v>0</v>
      </c>
      <c r="I55" s="25">
        <v>4588.99</v>
      </c>
      <c r="J55" s="27">
        <f t="shared" si="12"/>
        <v>5.0100000000002183</v>
      </c>
      <c r="K55" s="28">
        <f t="shared" si="11"/>
        <v>5.0100000000002183</v>
      </c>
      <c r="L55" s="24">
        <f t="shared" si="14"/>
        <v>0</v>
      </c>
      <c r="M55" s="24">
        <v>4587.3999999999996</v>
      </c>
      <c r="N55" s="57">
        <f t="shared" si="15"/>
        <v>1.5900000000001455</v>
      </c>
      <c r="O55" s="37">
        <v>0</v>
      </c>
      <c r="P55" s="47">
        <v>0</v>
      </c>
      <c r="Q55" s="38">
        <v>0</v>
      </c>
    </row>
    <row r="56" spans="1:17" ht="21.75" customHeight="1" x14ac:dyDescent="0.25">
      <c r="A56" s="32">
        <v>193</v>
      </c>
      <c r="B56" s="55" t="s">
        <v>105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5">
        <v>0</v>
      </c>
      <c r="J56" s="27">
        <f t="shared" si="12"/>
        <v>0</v>
      </c>
      <c r="K56" s="28">
        <f t="shared" si="11"/>
        <v>0</v>
      </c>
      <c r="L56" s="24">
        <f t="shared" si="14"/>
        <v>0</v>
      </c>
      <c r="M56" s="24">
        <v>0</v>
      </c>
      <c r="N56" s="57">
        <f t="shared" si="15"/>
        <v>0</v>
      </c>
      <c r="O56" s="37">
        <v>0</v>
      </c>
      <c r="P56" s="47">
        <v>0</v>
      </c>
      <c r="Q56" s="38">
        <v>0</v>
      </c>
    </row>
    <row r="57" spans="1:17" ht="21.75" customHeight="1" x14ac:dyDescent="0.25">
      <c r="A57" s="32">
        <v>194</v>
      </c>
      <c r="B57" s="55" t="s">
        <v>106</v>
      </c>
      <c r="C57" s="24">
        <v>0</v>
      </c>
      <c r="D57" s="24">
        <v>2124</v>
      </c>
      <c r="E57" s="24">
        <v>2124</v>
      </c>
      <c r="F57" s="24">
        <v>2124</v>
      </c>
      <c r="G57" s="24">
        <v>0</v>
      </c>
      <c r="H57" s="24">
        <v>0</v>
      </c>
      <c r="I57" s="25">
        <v>511.06</v>
      </c>
      <c r="J57" s="27">
        <f t="shared" si="12"/>
        <v>1612.94</v>
      </c>
      <c r="K57" s="28">
        <f t="shared" si="11"/>
        <v>1612.94</v>
      </c>
      <c r="L57" s="24">
        <f t="shared" si="14"/>
        <v>0</v>
      </c>
      <c r="M57" s="24">
        <v>0</v>
      </c>
      <c r="N57" s="57">
        <f t="shared" si="15"/>
        <v>511.06</v>
      </c>
      <c r="O57" s="37">
        <v>0</v>
      </c>
      <c r="P57" s="47">
        <v>0</v>
      </c>
      <c r="Q57" s="38">
        <v>0</v>
      </c>
    </row>
    <row r="58" spans="1:17" ht="21.75" customHeight="1" x14ac:dyDescent="0.25">
      <c r="A58" s="32">
        <v>196</v>
      </c>
      <c r="B58" s="55" t="s">
        <v>107</v>
      </c>
      <c r="C58" s="24">
        <v>0</v>
      </c>
      <c r="D58" s="24">
        <v>208</v>
      </c>
      <c r="E58" s="24">
        <v>208</v>
      </c>
      <c r="F58" s="24">
        <v>208</v>
      </c>
      <c r="G58" s="24">
        <v>0</v>
      </c>
      <c r="H58" s="24">
        <v>0</v>
      </c>
      <c r="I58" s="25">
        <v>207.43</v>
      </c>
      <c r="J58" s="27">
        <f t="shared" si="12"/>
        <v>0.56999999999999318</v>
      </c>
      <c r="K58" s="28">
        <f t="shared" si="11"/>
        <v>0.56999999999999318</v>
      </c>
      <c r="L58" s="24">
        <f t="shared" si="14"/>
        <v>0</v>
      </c>
      <c r="M58" s="24">
        <v>207.25</v>
      </c>
      <c r="N58" s="57">
        <f t="shared" si="15"/>
        <v>0.18000000000000682</v>
      </c>
      <c r="O58" s="37">
        <v>0</v>
      </c>
      <c r="P58" s="47">
        <v>0</v>
      </c>
      <c r="Q58" s="38">
        <v>0</v>
      </c>
    </row>
    <row r="59" spans="1:17" ht="21.75" customHeight="1" x14ac:dyDescent="0.25">
      <c r="A59" s="32">
        <v>197</v>
      </c>
      <c r="B59" s="55" t="s">
        <v>108</v>
      </c>
      <c r="C59" s="24">
        <v>0</v>
      </c>
      <c r="D59" s="24">
        <v>181</v>
      </c>
      <c r="E59" s="24">
        <v>181</v>
      </c>
      <c r="F59" s="24">
        <v>181</v>
      </c>
      <c r="G59" s="24">
        <v>0</v>
      </c>
      <c r="H59" s="24">
        <v>0</v>
      </c>
      <c r="I59" s="25">
        <v>43.55</v>
      </c>
      <c r="J59" s="27">
        <f t="shared" si="12"/>
        <v>137.44999999999999</v>
      </c>
      <c r="K59" s="28">
        <f t="shared" si="11"/>
        <v>137.44999999999999</v>
      </c>
      <c r="L59" s="24">
        <f t="shared" si="14"/>
        <v>0</v>
      </c>
      <c r="M59" s="24">
        <v>0</v>
      </c>
      <c r="N59" s="57">
        <f t="shared" si="15"/>
        <v>43.55</v>
      </c>
      <c r="O59" s="37">
        <v>0</v>
      </c>
      <c r="P59" s="47">
        <v>0</v>
      </c>
      <c r="Q59" s="38">
        <v>0</v>
      </c>
    </row>
    <row r="60" spans="1:17" ht="21.75" customHeight="1" x14ac:dyDescent="0.25">
      <c r="A60" s="32">
        <v>199</v>
      </c>
      <c r="B60" s="23" t="s">
        <v>109</v>
      </c>
      <c r="C60" s="24">
        <v>0</v>
      </c>
      <c r="D60" s="24">
        <v>50</v>
      </c>
      <c r="E60" s="24">
        <v>50</v>
      </c>
      <c r="F60" s="24">
        <v>50</v>
      </c>
      <c r="G60" s="24">
        <v>0</v>
      </c>
      <c r="H60" s="24">
        <v>0</v>
      </c>
      <c r="I60" s="25">
        <v>49.96</v>
      </c>
      <c r="J60" s="27">
        <f t="shared" si="12"/>
        <v>3.9999999999999147E-2</v>
      </c>
      <c r="K60" s="28">
        <f t="shared" si="11"/>
        <v>3.9999999999999147E-2</v>
      </c>
      <c r="L60" s="24">
        <f t="shared" si="14"/>
        <v>0</v>
      </c>
      <c r="M60" s="24">
        <v>49.95</v>
      </c>
      <c r="N60" s="57">
        <f t="shared" si="15"/>
        <v>9.9999999999980105E-3</v>
      </c>
      <c r="O60" s="37">
        <v>0</v>
      </c>
      <c r="P60" s="47">
        <v>0</v>
      </c>
      <c r="Q60" s="38">
        <v>0</v>
      </c>
    </row>
    <row r="61" spans="1:17" s="64" customFormat="1" ht="22.5" customHeight="1" x14ac:dyDescent="0.25">
      <c r="A61" s="60"/>
      <c r="B61" s="61" t="s">
        <v>110</v>
      </c>
      <c r="C61" s="62">
        <f>SUM(C62:C90)</f>
        <v>95100</v>
      </c>
      <c r="D61" s="62">
        <f>SUM(D62:D89)</f>
        <v>1833</v>
      </c>
      <c r="E61" s="62">
        <f>SUM(E62:E96)</f>
        <v>99415</v>
      </c>
      <c r="F61" s="62">
        <f>SUM(F62:F96)</f>
        <v>88965</v>
      </c>
      <c r="G61" s="62">
        <v>0</v>
      </c>
      <c r="H61" s="62">
        <f>SUM(H62:H96)</f>
        <v>6079.9800000000005</v>
      </c>
      <c r="I61" s="62">
        <f>SUM(I62:I96)</f>
        <v>35894.739999999991</v>
      </c>
      <c r="J61" s="62">
        <f>SUM(F61-I61)</f>
        <v>53070.260000000009</v>
      </c>
      <c r="K61" s="62">
        <f>SUM(E61-G61-I61)</f>
        <v>63520.260000000009</v>
      </c>
      <c r="L61" s="62">
        <f t="shared" si="14"/>
        <v>10450</v>
      </c>
      <c r="M61" s="62">
        <f>SUM(M62:M96)</f>
        <v>10298.890000000001</v>
      </c>
      <c r="N61" s="62">
        <f>+I61-M61</f>
        <v>25595.849999999991</v>
      </c>
      <c r="O61" s="63">
        <f>SUM(I61/F61*100%)</f>
        <v>0.40347035350980714</v>
      </c>
      <c r="P61" s="43">
        <f>SUM(H61/E61)</f>
        <v>6.1157571795000761E-2</v>
      </c>
      <c r="Q61" s="15">
        <f>SUM(I61/E61*100%)</f>
        <v>0.36105959865211479</v>
      </c>
    </row>
    <row r="62" spans="1:17" s="64" customFormat="1" ht="22.5" customHeight="1" x14ac:dyDescent="0.25">
      <c r="A62" s="32" t="s">
        <v>111</v>
      </c>
      <c r="B62" s="23" t="s">
        <v>112</v>
      </c>
      <c r="C62" s="24">
        <v>10000</v>
      </c>
      <c r="D62" s="24"/>
      <c r="E62" s="24">
        <v>10000</v>
      </c>
      <c r="F62" s="24">
        <v>9000</v>
      </c>
      <c r="G62" s="24">
        <v>0</v>
      </c>
      <c r="H62" s="24">
        <v>0</v>
      </c>
      <c r="I62" s="24">
        <v>2508.31</v>
      </c>
      <c r="J62" s="27">
        <f t="shared" ref="J62:J96" si="16">F62-I62-G62</f>
        <v>6491.6900000000005</v>
      </c>
      <c r="K62" s="28">
        <f t="shared" ref="K62:K96" si="17">SUM(E62-H62-I62)</f>
        <v>7491.6900000000005</v>
      </c>
      <c r="L62" s="24">
        <f t="shared" si="14"/>
        <v>1000</v>
      </c>
      <c r="M62" s="24">
        <v>1270.8800000000001</v>
      </c>
      <c r="N62" s="24">
        <f t="shared" ref="N62:N93" si="18">SUM(I62-M62)</f>
        <v>1237.4299999999998</v>
      </c>
      <c r="O62" s="29">
        <f>SUM(I62/F62*100%)</f>
        <v>0.27870111111111112</v>
      </c>
      <c r="P62" s="14">
        <f>SUM(H62/E62)</f>
        <v>0</v>
      </c>
      <c r="Q62" s="15">
        <f>SUM(I62/E62*100%)</f>
        <v>0.25083099999999997</v>
      </c>
    </row>
    <row r="63" spans="1:17" s="64" customFormat="1" ht="22.5" customHeight="1" x14ac:dyDescent="0.25">
      <c r="A63" s="32" t="s">
        <v>113</v>
      </c>
      <c r="B63" s="23" t="s">
        <v>114</v>
      </c>
      <c r="C63" s="24">
        <v>7000</v>
      </c>
      <c r="D63" s="24"/>
      <c r="E63" s="24">
        <v>7000</v>
      </c>
      <c r="F63" s="24">
        <v>6500</v>
      </c>
      <c r="G63" s="24">
        <v>0</v>
      </c>
      <c r="H63" s="24">
        <v>0</v>
      </c>
      <c r="I63" s="24">
        <v>2311.48</v>
      </c>
      <c r="J63" s="27">
        <f t="shared" si="16"/>
        <v>4188.5200000000004</v>
      </c>
      <c r="K63" s="28">
        <f t="shared" si="17"/>
        <v>4688.5200000000004</v>
      </c>
      <c r="L63" s="24">
        <f t="shared" si="14"/>
        <v>500</v>
      </c>
      <c r="M63" s="24">
        <v>153</v>
      </c>
      <c r="N63" s="24">
        <f t="shared" si="18"/>
        <v>2158.48</v>
      </c>
      <c r="O63" s="29">
        <f>SUM(I63/F63*100%)</f>
        <v>0.35561230769230767</v>
      </c>
      <c r="P63" s="14">
        <f>SUM(H63/E63)</f>
        <v>0</v>
      </c>
      <c r="Q63" s="15">
        <f>SUM(I63/E63*100%)</f>
        <v>0.3302114285714286</v>
      </c>
    </row>
    <row r="64" spans="1:17" s="64" customFormat="1" ht="22.5" customHeight="1" x14ac:dyDescent="0.25">
      <c r="A64" s="32">
        <v>211</v>
      </c>
      <c r="B64" s="23" t="s">
        <v>115</v>
      </c>
      <c r="C64" s="24">
        <v>0</v>
      </c>
      <c r="D64" s="24"/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7">
        <f t="shared" si="16"/>
        <v>0</v>
      </c>
      <c r="K64" s="28">
        <f t="shared" si="17"/>
        <v>0</v>
      </c>
      <c r="L64" s="24">
        <f t="shared" si="14"/>
        <v>0</v>
      </c>
      <c r="M64" s="24">
        <v>0</v>
      </c>
      <c r="N64" s="24">
        <f t="shared" si="18"/>
        <v>0</v>
      </c>
      <c r="O64" s="29">
        <v>0</v>
      </c>
      <c r="P64" s="14">
        <v>0</v>
      </c>
      <c r="Q64" s="15">
        <v>0</v>
      </c>
    </row>
    <row r="65" spans="1:17" s="64" customFormat="1" ht="22.5" customHeight="1" x14ac:dyDescent="0.25">
      <c r="A65" s="32">
        <v>212</v>
      </c>
      <c r="B65" s="23" t="s">
        <v>116</v>
      </c>
      <c r="C65" s="24">
        <v>0</v>
      </c>
      <c r="D65" s="24"/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7">
        <f t="shared" si="16"/>
        <v>0</v>
      </c>
      <c r="K65" s="28">
        <f t="shared" si="17"/>
        <v>0</v>
      </c>
      <c r="L65" s="24">
        <f t="shared" si="14"/>
        <v>0</v>
      </c>
      <c r="M65" s="24">
        <v>0</v>
      </c>
      <c r="N65" s="24">
        <f t="shared" si="18"/>
        <v>0</v>
      </c>
      <c r="O65" s="29">
        <v>0</v>
      </c>
      <c r="P65" s="14">
        <v>0</v>
      </c>
      <c r="Q65" s="15">
        <v>0</v>
      </c>
    </row>
    <row r="66" spans="1:17" s="64" customFormat="1" ht="22.5" customHeight="1" x14ac:dyDescent="0.25">
      <c r="A66" s="32" t="s">
        <v>117</v>
      </c>
      <c r="B66" s="23" t="s">
        <v>118</v>
      </c>
      <c r="C66" s="24">
        <v>8000</v>
      </c>
      <c r="D66" s="56">
        <v>-452</v>
      </c>
      <c r="E66" s="24">
        <v>7548</v>
      </c>
      <c r="F66" s="24">
        <v>7548</v>
      </c>
      <c r="G66" s="24">
        <v>0</v>
      </c>
      <c r="H66" s="24">
        <v>0</v>
      </c>
      <c r="I66" s="24">
        <v>1481.31</v>
      </c>
      <c r="J66" s="27">
        <f t="shared" si="16"/>
        <v>6066.6900000000005</v>
      </c>
      <c r="K66" s="28">
        <f t="shared" si="17"/>
        <v>6066.6900000000005</v>
      </c>
      <c r="L66" s="24">
        <f t="shared" si="14"/>
        <v>0</v>
      </c>
      <c r="M66" s="24">
        <v>347.11</v>
      </c>
      <c r="N66" s="24">
        <f t="shared" si="18"/>
        <v>1134.1999999999998</v>
      </c>
      <c r="O66" s="29">
        <f t="shared" ref="O66:O79" si="19">SUM(I66/F66*100%)</f>
        <v>0.19625198728139903</v>
      </c>
      <c r="P66" s="14">
        <f t="shared" ref="P66:P79" si="20">SUM(H66/E66)</f>
        <v>0</v>
      </c>
      <c r="Q66" s="15">
        <f t="shared" ref="Q66:Q79" si="21">SUM(I66/E66*100%)</f>
        <v>0.19625198728139903</v>
      </c>
    </row>
    <row r="67" spans="1:17" s="64" customFormat="1" ht="22.5" customHeight="1" x14ac:dyDescent="0.25">
      <c r="A67" s="32" t="s">
        <v>119</v>
      </c>
      <c r="B67" s="23" t="s">
        <v>120</v>
      </c>
      <c r="C67" s="24">
        <v>5000</v>
      </c>
      <c r="D67" s="24">
        <v>215</v>
      </c>
      <c r="E67" s="24">
        <v>5215</v>
      </c>
      <c r="F67" s="24">
        <v>5215</v>
      </c>
      <c r="G67" s="24">
        <v>0</v>
      </c>
      <c r="H67" s="33">
        <v>0</v>
      </c>
      <c r="I67" s="24">
        <v>3068.68</v>
      </c>
      <c r="J67" s="27">
        <f t="shared" si="16"/>
        <v>2146.3200000000002</v>
      </c>
      <c r="K67" s="28">
        <f t="shared" si="17"/>
        <v>2146.3200000000002</v>
      </c>
      <c r="L67" s="24">
        <f t="shared" si="14"/>
        <v>0</v>
      </c>
      <c r="M67" s="24">
        <v>846.7</v>
      </c>
      <c r="N67" s="24">
        <f t="shared" si="18"/>
        <v>2221.9799999999996</v>
      </c>
      <c r="O67" s="29">
        <f t="shared" si="19"/>
        <v>0.58843336529242563</v>
      </c>
      <c r="P67" s="14">
        <f t="shared" si="20"/>
        <v>0</v>
      </c>
      <c r="Q67" s="15">
        <f t="shared" si="21"/>
        <v>0.58843336529242563</v>
      </c>
    </row>
    <row r="68" spans="1:17" s="64" customFormat="1" ht="22.5" customHeight="1" x14ac:dyDescent="0.25">
      <c r="A68" s="32" t="s">
        <v>121</v>
      </c>
      <c r="B68" s="23" t="s">
        <v>122</v>
      </c>
      <c r="C68" s="24">
        <v>6000</v>
      </c>
      <c r="D68" s="24">
        <v>121</v>
      </c>
      <c r="E68" s="24">
        <v>6121</v>
      </c>
      <c r="F68" s="24">
        <v>6121</v>
      </c>
      <c r="G68" s="24">
        <v>0</v>
      </c>
      <c r="H68" s="24">
        <v>0</v>
      </c>
      <c r="I68" s="24">
        <v>3545.71</v>
      </c>
      <c r="J68" s="27">
        <f t="shared" si="16"/>
        <v>2575.29</v>
      </c>
      <c r="K68" s="28">
        <f t="shared" si="17"/>
        <v>2575.29</v>
      </c>
      <c r="L68" s="24">
        <f t="shared" si="14"/>
        <v>0</v>
      </c>
      <c r="M68" s="24">
        <v>505.78</v>
      </c>
      <c r="N68" s="24">
        <f t="shared" si="18"/>
        <v>3039.9300000000003</v>
      </c>
      <c r="O68" s="29">
        <f t="shared" si="19"/>
        <v>0.57926972716876324</v>
      </c>
      <c r="P68" s="14">
        <f t="shared" si="20"/>
        <v>0</v>
      </c>
      <c r="Q68" s="15">
        <f t="shared" si="21"/>
        <v>0.57926972716876324</v>
      </c>
    </row>
    <row r="69" spans="1:17" s="64" customFormat="1" ht="22.5" customHeight="1" x14ac:dyDescent="0.25">
      <c r="A69" s="32" t="s">
        <v>123</v>
      </c>
      <c r="B69" s="23" t="s">
        <v>124</v>
      </c>
      <c r="C69" s="24">
        <v>2000</v>
      </c>
      <c r="D69" s="24"/>
      <c r="E69" s="24">
        <v>2000</v>
      </c>
      <c r="F69" s="24">
        <v>1750</v>
      </c>
      <c r="G69" s="24">
        <v>0</v>
      </c>
      <c r="H69" s="24">
        <v>26.75</v>
      </c>
      <c r="I69" s="24">
        <f>SUM(294+H69)</f>
        <v>320.75</v>
      </c>
      <c r="J69" s="27">
        <f t="shared" si="16"/>
        <v>1429.25</v>
      </c>
      <c r="K69" s="28">
        <f t="shared" si="17"/>
        <v>1652.5</v>
      </c>
      <c r="L69" s="24">
        <f t="shared" si="14"/>
        <v>250</v>
      </c>
      <c r="M69" s="24">
        <v>12.28</v>
      </c>
      <c r="N69" s="24">
        <f t="shared" si="18"/>
        <v>308.47000000000003</v>
      </c>
      <c r="O69" s="29">
        <f t="shared" si="19"/>
        <v>0.18328571428571427</v>
      </c>
      <c r="P69" s="14">
        <f t="shared" si="20"/>
        <v>1.3375E-2</v>
      </c>
      <c r="Q69" s="15">
        <f t="shared" si="21"/>
        <v>0.16037499999999999</v>
      </c>
    </row>
    <row r="70" spans="1:17" s="64" customFormat="1" ht="22.5" customHeight="1" x14ac:dyDescent="0.25">
      <c r="A70" s="32" t="s">
        <v>125</v>
      </c>
      <c r="B70" s="23" t="s">
        <v>126</v>
      </c>
      <c r="C70" s="24">
        <v>4000</v>
      </c>
      <c r="D70" s="56">
        <v>750</v>
      </c>
      <c r="E70" s="24">
        <v>4750</v>
      </c>
      <c r="F70" s="24">
        <v>4250</v>
      </c>
      <c r="G70" s="24">
        <v>0</v>
      </c>
      <c r="H70" s="24">
        <v>1284</v>
      </c>
      <c r="I70" s="24">
        <f>SUM(1948+H70)</f>
        <v>3232</v>
      </c>
      <c r="J70" s="27">
        <f t="shared" si="16"/>
        <v>1018</v>
      </c>
      <c r="K70" s="28">
        <f t="shared" si="17"/>
        <v>234</v>
      </c>
      <c r="L70" s="24">
        <f t="shared" si="14"/>
        <v>500</v>
      </c>
      <c r="M70" s="24">
        <v>481</v>
      </c>
      <c r="N70" s="24">
        <f t="shared" si="18"/>
        <v>2751</v>
      </c>
      <c r="O70" s="29">
        <f t="shared" si="19"/>
        <v>0.76047058823529412</v>
      </c>
      <c r="P70" s="14">
        <f t="shared" si="20"/>
        <v>0.27031578947368423</v>
      </c>
      <c r="Q70" s="15">
        <f t="shared" si="21"/>
        <v>0.68042105263157893</v>
      </c>
    </row>
    <row r="71" spans="1:17" s="64" customFormat="1" ht="22.5" customHeight="1" x14ac:dyDescent="0.25">
      <c r="A71" s="32" t="s">
        <v>127</v>
      </c>
      <c r="B71" s="23" t="s">
        <v>128</v>
      </c>
      <c r="C71" s="24">
        <v>5000</v>
      </c>
      <c r="D71" s="24">
        <v>328</v>
      </c>
      <c r="E71" s="24">
        <v>5328</v>
      </c>
      <c r="F71" s="24">
        <v>4578</v>
      </c>
      <c r="G71" s="24">
        <v>0</v>
      </c>
      <c r="H71" s="24">
        <v>0</v>
      </c>
      <c r="I71" s="24">
        <v>1373.03</v>
      </c>
      <c r="J71" s="27">
        <f t="shared" si="16"/>
        <v>3204.9700000000003</v>
      </c>
      <c r="K71" s="28">
        <f t="shared" si="17"/>
        <v>3954.9700000000003</v>
      </c>
      <c r="L71" s="24">
        <f t="shared" si="14"/>
        <v>750</v>
      </c>
      <c r="M71" s="24">
        <v>719.78</v>
      </c>
      <c r="N71" s="24">
        <f t="shared" si="18"/>
        <v>653.25</v>
      </c>
      <c r="O71" s="29">
        <f t="shared" si="19"/>
        <v>0.29991917868064655</v>
      </c>
      <c r="P71" s="14">
        <f t="shared" si="20"/>
        <v>0</v>
      </c>
      <c r="Q71" s="15">
        <f t="shared" si="21"/>
        <v>0.25770082582582582</v>
      </c>
    </row>
    <row r="72" spans="1:17" s="64" customFormat="1" ht="22.5" customHeight="1" x14ac:dyDescent="0.25">
      <c r="A72" s="32" t="s">
        <v>129</v>
      </c>
      <c r="B72" s="23" t="s">
        <v>130</v>
      </c>
      <c r="C72" s="24">
        <v>3500</v>
      </c>
      <c r="D72" s="24"/>
      <c r="E72" s="24">
        <v>3500</v>
      </c>
      <c r="F72" s="24">
        <v>2800</v>
      </c>
      <c r="G72" s="24">
        <v>0</v>
      </c>
      <c r="H72" s="24">
        <v>0</v>
      </c>
      <c r="I72" s="24">
        <v>534.04</v>
      </c>
      <c r="J72" s="27">
        <f t="shared" si="16"/>
        <v>2265.96</v>
      </c>
      <c r="K72" s="28">
        <f t="shared" si="17"/>
        <v>2965.96</v>
      </c>
      <c r="L72" s="24">
        <f t="shared" si="14"/>
        <v>700</v>
      </c>
      <c r="M72" s="24">
        <v>44.14</v>
      </c>
      <c r="N72" s="24">
        <f t="shared" si="18"/>
        <v>489.9</v>
      </c>
      <c r="O72" s="29">
        <f t="shared" si="19"/>
        <v>0.19072857142857141</v>
      </c>
      <c r="P72" s="14">
        <f t="shared" si="20"/>
        <v>0</v>
      </c>
      <c r="Q72" s="15">
        <f t="shared" si="21"/>
        <v>0.15258285714285713</v>
      </c>
    </row>
    <row r="73" spans="1:17" s="64" customFormat="1" ht="22.5" customHeight="1" x14ac:dyDescent="0.25">
      <c r="A73" s="32" t="s">
        <v>131</v>
      </c>
      <c r="B73" s="23" t="s">
        <v>132</v>
      </c>
      <c r="C73" s="24">
        <v>1500</v>
      </c>
      <c r="D73" s="24"/>
      <c r="E73" s="24">
        <v>1500</v>
      </c>
      <c r="F73" s="24">
        <v>1300</v>
      </c>
      <c r="G73" s="24">
        <v>0</v>
      </c>
      <c r="H73" s="24">
        <v>0</v>
      </c>
      <c r="I73" s="24">
        <v>212.64</v>
      </c>
      <c r="J73" s="27">
        <f t="shared" si="16"/>
        <v>1087.3600000000001</v>
      </c>
      <c r="K73" s="28">
        <f t="shared" si="17"/>
        <v>1287.3600000000001</v>
      </c>
      <c r="L73" s="24">
        <f t="shared" si="14"/>
        <v>200</v>
      </c>
      <c r="M73" s="24">
        <v>0</v>
      </c>
      <c r="N73" s="24">
        <f t="shared" si="18"/>
        <v>212.64</v>
      </c>
      <c r="O73" s="29">
        <f t="shared" si="19"/>
        <v>0.16356923076923077</v>
      </c>
      <c r="P73" s="14">
        <f t="shared" si="20"/>
        <v>0</v>
      </c>
      <c r="Q73" s="15">
        <f t="shared" si="21"/>
        <v>0.14176</v>
      </c>
    </row>
    <row r="74" spans="1:17" s="64" customFormat="1" ht="22.5" customHeight="1" x14ac:dyDescent="0.25">
      <c r="A74" s="32" t="s">
        <v>133</v>
      </c>
      <c r="B74" s="23" t="s">
        <v>134</v>
      </c>
      <c r="C74" s="24">
        <v>3000</v>
      </c>
      <c r="D74" s="24"/>
      <c r="E74" s="24">
        <v>3000</v>
      </c>
      <c r="F74" s="24">
        <v>2500</v>
      </c>
      <c r="G74" s="24">
        <v>0</v>
      </c>
      <c r="H74" s="24">
        <v>0</v>
      </c>
      <c r="I74" s="24">
        <v>425.28</v>
      </c>
      <c r="J74" s="27">
        <f t="shared" si="16"/>
        <v>2074.7200000000003</v>
      </c>
      <c r="K74" s="28">
        <f t="shared" si="17"/>
        <v>2574.7200000000003</v>
      </c>
      <c r="L74" s="24">
        <f t="shared" si="14"/>
        <v>500</v>
      </c>
      <c r="M74" s="24">
        <v>0</v>
      </c>
      <c r="N74" s="24">
        <f t="shared" si="18"/>
        <v>425.28</v>
      </c>
      <c r="O74" s="29">
        <f t="shared" si="19"/>
        <v>0.17011199999999999</v>
      </c>
      <c r="P74" s="14">
        <f t="shared" si="20"/>
        <v>0</v>
      </c>
      <c r="Q74" s="15">
        <f t="shared" si="21"/>
        <v>0.14176</v>
      </c>
    </row>
    <row r="75" spans="1:17" s="64" customFormat="1" ht="22.5" customHeight="1" x14ac:dyDescent="0.25">
      <c r="A75" s="32" t="s">
        <v>135</v>
      </c>
      <c r="B75" s="23" t="s">
        <v>136</v>
      </c>
      <c r="C75" s="24">
        <v>300</v>
      </c>
      <c r="D75" s="24"/>
      <c r="E75" s="24">
        <v>300</v>
      </c>
      <c r="F75" s="24">
        <v>300</v>
      </c>
      <c r="G75" s="24">
        <v>0</v>
      </c>
      <c r="H75" s="24">
        <v>0</v>
      </c>
      <c r="I75" s="24">
        <v>113.22</v>
      </c>
      <c r="J75" s="27">
        <f t="shared" si="16"/>
        <v>186.78</v>
      </c>
      <c r="K75" s="28">
        <f t="shared" si="17"/>
        <v>186.78</v>
      </c>
      <c r="L75" s="24">
        <f t="shared" si="14"/>
        <v>0</v>
      </c>
      <c r="M75" s="24">
        <v>82.37</v>
      </c>
      <c r="N75" s="24">
        <f t="shared" si="18"/>
        <v>30.849999999999994</v>
      </c>
      <c r="O75" s="29">
        <f t="shared" si="19"/>
        <v>0.37740000000000001</v>
      </c>
      <c r="P75" s="14">
        <f t="shared" si="20"/>
        <v>0</v>
      </c>
      <c r="Q75" s="15">
        <f t="shared" si="21"/>
        <v>0.37740000000000001</v>
      </c>
    </row>
    <row r="76" spans="1:17" s="64" customFormat="1" ht="22.5" customHeight="1" x14ac:dyDescent="0.25">
      <c r="A76" s="32" t="s">
        <v>137</v>
      </c>
      <c r="B76" s="23" t="s">
        <v>138</v>
      </c>
      <c r="C76" s="24">
        <v>2000</v>
      </c>
      <c r="D76" s="24">
        <v>300</v>
      </c>
      <c r="E76" s="24">
        <v>2300</v>
      </c>
      <c r="F76" s="24">
        <v>1800</v>
      </c>
      <c r="G76" s="24">
        <v>0</v>
      </c>
      <c r="H76" s="24">
        <v>0</v>
      </c>
      <c r="I76" s="24">
        <v>769.15</v>
      </c>
      <c r="J76" s="27">
        <f t="shared" si="16"/>
        <v>1030.8499999999999</v>
      </c>
      <c r="K76" s="28">
        <f t="shared" si="17"/>
        <v>1530.85</v>
      </c>
      <c r="L76" s="24">
        <f t="shared" si="14"/>
        <v>500</v>
      </c>
      <c r="M76" s="24">
        <v>424.73</v>
      </c>
      <c r="N76" s="24">
        <f t="shared" si="18"/>
        <v>344.41999999999996</v>
      </c>
      <c r="O76" s="29">
        <f t="shared" si="19"/>
        <v>0.42730555555555555</v>
      </c>
      <c r="P76" s="14">
        <f t="shared" si="20"/>
        <v>0</v>
      </c>
      <c r="Q76" s="15">
        <f t="shared" si="21"/>
        <v>0.33441304347826084</v>
      </c>
    </row>
    <row r="77" spans="1:17" s="64" customFormat="1" ht="22.5" customHeight="1" x14ac:dyDescent="0.25">
      <c r="A77" s="32" t="s">
        <v>139</v>
      </c>
      <c r="B77" s="23" t="s">
        <v>140</v>
      </c>
      <c r="C77" s="24">
        <v>1000</v>
      </c>
      <c r="D77" s="24"/>
      <c r="E77" s="24">
        <v>1000</v>
      </c>
      <c r="F77" s="24">
        <v>800</v>
      </c>
      <c r="G77" s="24">
        <v>0</v>
      </c>
      <c r="H77" s="24">
        <v>0</v>
      </c>
      <c r="I77" s="24">
        <v>141.76</v>
      </c>
      <c r="J77" s="27">
        <f t="shared" si="16"/>
        <v>658.24</v>
      </c>
      <c r="K77" s="28">
        <f t="shared" si="17"/>
        <v>858.24</v>
      </c>
      <c r="L77" s="24">
        <f t="shared" si="14"/>
        <v>200</v>
      </c>
      <c r="M77" s="24">
        <v>0</v>
      </c>
      <c r="N77" s="24">
        <f t="shared" si="18"/>
        <v>141.76</v>
      </c>
      <c r="O77" s="29">
        <f t="shared" si="19"/>
        <v>0.1772</v>
      </c>
      <c r="P77" s="14">
        <f t="shared" si="20"/>
        <v>0</v>
      </c>
      <c r="Q77" s="15">
        <f t="shared" si="21"/>
        <v>0.14176</v>
      </c>
    </row>
    <row r="78" spans="1:17" s="64" customFormat="1" ht="22.5" customHeight="1" x14ac:dyDescent="0.25">
      <c r="A78" s="32" t="s">
        <v>141</v>
      </c>
      <c r="B78" s="23" t="s">
        <v>142</v>
      </c>
      <c r="C78" s="24">
        <v>750</v>
      </c>
      <c r="D78" s="24"/>
      <c r="E78" s="24">
        <v>750</v>
      </c>
      <c r="F78" s="24">
        <v>650</v>
      </c>
      <c r="G78" s="24">
        <v>0</v>
      </c>
      <c r="H78" s="24">
        <v>0</v>
      </c>
      <c r="I78" s="24">
        <v>175.42</v>
      </c>
      <c r="J78" s="27">
        <f t="shared" si="16"/>
        <v>474.58000000000004</v>
      </c>
      <c r="K78" s="28">
        <f t="shared" si="17"/>
        <v>574.58000000000004</v>
      </c>
      <c r="L78" s="24">
        <f t="shared" si="14"/>
        <v>100</v>
      </c>
      <c r="M78" s="24">
        <v>80.52</v>
      </c>
      <c r="N78" s="24">
        <f t="shared" si="18"/>
        <v>94.899999999999991</v>
      </c>
      <c r="O78" s="29">
        <f t="shared" si="19"/>
        <v>0.26987692307692307</v>
      </c>
      <c r="P78" s="14">
        <f t="shared" si="20"/>
        <v>0</v>
      </c>
      <c r="Q78" s="15">
        <f t="shared" si="21"/>
        <v>0.23389333333333331</v>
      </c>
    </row>
    <row r="79" spans="1:17" s="64" customFormat="1" ht="22.5" customHeight="1" x14ac:dyDescent="0.25">
      <c r="A79" s="32" t="s">
        <v>143</v>
      </c>
      <c r="B79" s="23" t="s">
        <v>144</v>
      </c>
      <c r="C79" s="24">
        <v>750</v>
      </c>
      <c r="D79" s="24"/>
      <c r="E79" s="24">
        <v>750</v>
      </c>
      <c r="F79" s="24">
        <v>650</v>
      </c>
      <c r="G79" s="24">
        <v>0</v>
      </c>
      <c r="H79" s="24">
        <v>0</v>
      </c>
      <c r="I79" s="24">
        <v>201.73</v>
      </c>
      <c r="J79" s="27">
        <f t="shared" si="16"/>
        <v>448.27</v>
      </c>
      <c r="K79" s="28">
        <f t="shared" si="17"/>
        <v>548.27</v>
      </c>
      <c r="L79" s="24">
        <f t="shared" si="14"/>
        <v>100</v>
      </c>
      <c r="M79" s="24">
        <v>111.17</v>
      </c>
      <c r="N79" s="24">
        <f t="shared" si="18"/>
        <v>90.559999999999988</v>
      </c>
      <c r="O79" s="29">
        <f t="shared" si="19"/>
        <v>0.31035384615384615</v>
      </c>
      <c r="P79" s="14">
        <f t="shared" si="20"/>
        <v>0</v>
      </c>
      <c r="Q79" s="15">
        <f t="shared" si="21"/>
        <v>0.26897333333333334</v>
      </c>
    </row>
    <row r="80" spans="1:17" s="64" customFormat="1" ht="22.5" customHeight="1" x14ac:dyDescent="0.25">
      <c r="A80" s="32">
        <v>256</v>
      </c>
      <c r="B80" s="55" t="s">
        <v>145</v>
      </c>
      <c r="C80" s="24">
        <v>0</v>
      </c>
      <c r="D80" s="24"/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7">
        <f t="shared" si="16"/>
        <v>0</v>
      </c>
      <c r="K80" s="28">
        <f t="shared" si="17"/>
        <v>0</v>
      </c>
      <c r="L80" s="24">
        <f t="shared" si="14"/>
        <v>0</v>
      </c>
      <c r="M80" s="24">
        <v>0</v>
      </c>
      <c r="N80" s="24">
        <f t="shared" si="18"/>
        <v>0</v>
      </c>
      <c r="O80" s="29">
        <v>0</v>
      </c>
      <c r="P80" s="14">
        <v>0</v>
      </c>
      <c r="Q80" s="15">
        <v>0</v>
      </c>
    </row>
    <row r="81" spans="1:17" s="64" customFormat="1" ht="22.5" customHeight="1" x14ac:dyDescent="0.25">
      <c r="A81" s="32">
        <v>259</v>
      </c>
      <c r="B81" s="55" t="s">
        <v>146</v>
      </c>
      <c r="C81" s="24">
        <v>1000</v>
      </c>
      <c r="D81" s="24"/>
      <c r="E81" s="24">
        <v>1000</v>
      </c>
      <c r="F81" s="24">
        <v>900</v>
      </c>
      <c r="G81" s="24">
        <v>0</v>
      </c>
      <c r="H81" s="24">
        <v>0</v>
      </c>
      <c r="I81" s="24">
        <v>181.42</v>
      </c>
      <c r="J81" s="27">
        <f t="shared" si="16"/>
        <v>718.58</v>
      </c>
      <c r="K81" s="28">
        <f t="shared" si="17"/>
        <v>818.58</v>
      </c>
      <c r="L81" s="24">
        <f t="shared" si="14"/>
        <v>100</v>
      </c>
      <c r="M81" s="24">
        <v>46.21</v>
      </c>
      <c r="N81" s="24">
        <f t="shared" si="18"/>
        <v>135.20999999999998</v>
      </c>
      <c r="O81" s="29">
        <f>SUM(I81/F81*100%)</f>
        <v>0.20157777777777777</v>
      </c>
      <c r="P81" s="14">
        <f>SUM(H81/E81)</f>
        <v>0</v>
      </c>
      <c r="Q81" s="15">
        <f>SUM(I81/E81*100%)</f>
        <v>0.18142</v>
      </c>
    </row>
    <row r="82" spans="1:17" s="64" customFormat="1" ht="22.5" customHeight="1" x14ac:dyDescent="0.25">
      <c r="A82" s="32" t="s">
        <v>147</v>
      </c>
      <c r="B82" s="55" t="s">
        <v>148</v>
      </c>
      <c r="C82" s="24">
        <v>1500</v>
      </c>
      <c r="D82" s="24"/>
      <c r="E82" s="24">
        <v>1500</v>
      </c>
      <c r="F82" s="24">
        <v>1150</v>
      </c>
      <c r="G82" s="24">
        <v>0</v>
      </c>
      <c r="H82" s="24">
        <v>0</v>
      </c>
      <c r="I82" s="24">
        <v>212.64</v>
      </c>
      <c r="J82" s="27">
        <f t="shared" si="16"/>
        <v>937.36</v>
      </c>
      <c r="K82" s="28">
        <f t="shared" si="17"/>
        <v>1287.3600000000001</v>
      </c>
      <c r="L82" s="24">
        <f t="shared" si="14"/>
        <v>350</v>
      </c>
      <c r="M82" s="24">
        <v>0</v>
      </c>
      <c r="N82" s="24">
        <f t="shared" si="18"/>
        <v>212.64</v>
      </c>
      <c r="O82" s="29">
        <f>SUM(I82/F82*100%)</f>
        <v>0.18490434782608695</v>
      </c>
      <c r="P82" s="14">
        <f>SUM(H82/E82)</f>
        <v>0</v>
      </c>
      <c r="Q82" s="15">
        <f>SUM(I82/E82*100%)</f>
        <v>0.14176</v>
      </c>
    </row>
    <row r="83" spans="1:17" s="64" customFormat="1" ht="22.5" customHeight="1" x14ac:dyDescent="0.25">
      <c r="A83" s="32">
        <v>262</v>
      </c>
      <c r="B83" s="55" t="s">
        <v>149</v>
      </c>
      <c r="C83" s="24">
        <v>0</v>
      </c>
      <c r="D83" s="24"/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7">
        <f t="shared" si="16"/>
        <v>0</v>
      </c>
      <c r="K83" s="28">
        <f t="shared" si="17"/>
        <v>0</v>
      </c>
      <c r="L83" s="24">
        <f t="shared" si="14"/>
        <v>0</v>
      </c>
      <c r="M83" s="24">
        <v>0</v>
      </c>
      <c r="N83" s="24">
        <f t="shared" si="18"/>
        <v>0</v>
      </c>
      <c r="O83" s="29">
        <v>0</v>
      </c>
      <c r="P83" s="14">
        <v>0</v>
      </c>
      <c r="Q83" s="15">
        <v>0</v>
      </c>
    </row>
    <row r="84" spans="1:17" s="64" customFormat="1" ht="22.5" customHeight="1" x14ac:dyDescent="0.25">
      <c r="A84" s="32" t="s">
        <v>150</v>
      </c>
      <c r="B84" s="55" t="s">
        <v>151</v>
      </c>
      <c r="C84" s="24">
        <v>5000</v>
      </c>
      <c r="D84" s="24"/>
      <c r="E84" s="24">
        <v>5000</v>
      </c>
      <c r="F84" s="24">
        <v>4000</v>
      </c>
      <c r="G84" s="24">
        <v>0</v>
      </c>
      <c r="H84" s="24">
        <v>0</v>
      </c>
      <c r="I84" s="24">
        <v>787.77</v>
      </c>
      <c r="J84" s="27">
        <f t="shared" si="16"/>
        <v>3212.23</v>
      </c>
      <c r="K84" s="28">
        <f t="shared" si="17"/>
        <v>4212.2299999999996</v>
      </c>
      <c r="L84" s="24">
        <f t="shared" si="14"/>
        <v>1000</v>
      </c>
      <c r="M84" s="24">
        <v>92.02</v>
      </c>
      <c r="N84" s="24">
        <f t="shared" si="18"/>
        <v>695.75</v>
      </c>
      <c r="O84" s="29">
        <f t="shared" ref="O84:O90" si="22">SUM(I84/F84*100%)</f>
        <v>0.19694249999999999</v>
      </c>
      <c r="P84" s="14">
        <f t="shared" ref="P84:P90" si="23">SUM(H84/E84)</f>
        <v>0</v>
      </c>
      <c r="Q84" s="15">
        <f t="shared" ref="Q84:Q90" si="24">SUM(I84/E84*100%)</f>
        <v>0.157554</v>
      </c>
    </row>
    <row r="85" spans="1:17" s="64" customFormat="1" ht="22.5" customHeight="1" x14ac:dyDescent="0.25">
      <c r="A85" s="32" t="s">
        <v>152</v>
      </c>
      <c r="B85" s="55" t="s">
        <v>153</v>
      </c>
      <c r="C85" s="24">
        <v>2000</v>
      </c>
      <c r="D85" s="56"/>
      <c r="E85" s="24">
        <v>2000</v>
      </c>
      <c r="F85" s="24">
        <v>1600</v>
      </c>
      <c r="G85" s="24">
        <v>0</v>
      </c>
      <c r="H85" s="24">
        <v>0</v>
      </c>
      <c r="I85" s="24">
        <v>346.23</v>
      </c>
      <c r="J85" s="27">
        <f t="shared" si="16"/>
        <v>1253.77</v>
      </c>
      <c r="K85" s="28">
        <f t="shared" si="17"/>
        <v>1653.77</v>
      </c>
      <c r="L85" s="24">
        <f t="shared" si="14"/>
        <v>400</v>
      </c>
      <c r="M85" s="24">
        <v>79.12</v>
      </c>
      <c r="N85" s="24">
        <f t="shared" si="18"/>
        <v>267.11</v>
      </c>
      <c r="O85" s="29">
        <f t="shared" si="22"/>
        <v>0.21639375000000002</v>
      </c>
      <c r="P85" s="14">
        <f t="shared" si="23"/>
        <v>0</v>
      </c>
      <c r="Q85" s="15">
        <f t="shared" si="24"/>
        <v>0.17311500000000002</v>
      </c>
    </row>
    <row r="86" spans="1:17" s="64" customFormat="1" ht="22.5" customHeight="1" x14ac:dyDescent="0.25">
      <c r="A86" s="32" t="s">
        <v>154</v>
      </c>
      <c r="B86" s="23" t="s">
        <v>155</v>
      </c>
      <c r="C86" s="24">
        <v>300</v>
      </c>
      <c r="D86" s="24"/>
      <c r="E86" s="24">
        <v>300</v>
      </c>
      <c r="F86" s="24">
        <v>250</v>
      </c>
      <c r="G86" s="24">
        <v>0</v>
      </c>
      <c r="H86" s="24">
        <v>0</v>
      </c>
      <c r="I86" s="24">
        <v>42.53</v>
      </c>
      <c r="J86" s="27">
        <f t="shared" si="16"/>
        <v>207.47</v>
      </c>
      <c r="K86" s="28">
        <f t="shared" si="17"/>
        <v>257.47000000000003</v>
      </c>
      <c r="L86" s="24">
        <f t="shared" ref="L86:L106" si="25">SUM(E86-F86)</f>
        <v>50</v>
      </c>
      <c r="M86" s="24">
        <v>0</v>
      </c>
      <c r="N86" s="24">
        <f t="shared" si="18"/>
        <v>42.53</v>
      </c>
      <c r="O86" s="29">
        <f t="shared" si="22"/>
        <v>0.17011999999999999</v>
      </c>
      <c r="P86" s="14">
        <f t="shared" si="23"/>
        <v>0</v>
      </c>
      <c r="Q86" s="15">
        <f t="shared" si="24"/>
        <v>0.14176666666666668</v>
      </c>
    </row>
    <row r="87" spans="1:17" s="64" customFormat="1" ht="22.5" customHeight="1" x14ac:dyDescent="0.25">
      <c r="A87" s="32" t="s">
        <v>156</v>
      </c>
      <c r="B87" s="23" t="s">
        <v>157</v>
      </c>
      <c r="C87" s="24">
        <v>5000</v>
      </c>
      <c r="D87" s="24">
        <v>375</v>
      </c>
      <c r="E87" s="24">
        <v>5375</v>
      </c>
      <c r="F87" s="24">
        <v>4375</v>
      </c>
      <c r="G87" s="24">
        <v>0</v>
      </c>
      <c r="H87" s="24">
        <v>0</v>
      </c>
      <c r="I87" s="24">
        <v>1352.03</v>
      </c>
      <c r="J87" s="27">
        <f t="shared" si="16"/>
        <v>3022.9700000000003</v>
      </c>
      <c r="K87" s="28">
        <f t="shared" si="17"/>
        <v>4022.9700000000003</v>
      </c>
      <c r="L87" s="24">
        <f t="shared" si="25"/>
        <v>1000</v>
      </c>
      <c r="M87" s="24">
        <v>286.95999999999998</v>
      </c>
      <c r="N87" s="24">
        <f t="shared" si="18"/>
        <v>1065.07</v>
      </c>
      <c r="O87" s="29">
        <f t="shared" si="22"/>
        <v>0.30903542857142857</v>
      </c>
      <c r="P87" s="14">
        <f t="shared" si="23"/>
        <v>0</v>
      </c>
      <c r="Q87" s="15">
        <f t="shared" si="24"/>
        <v>0.25154046511627909</v>
      </c>
    </row>
    <row r="88" spans="1:17" s="64" customFormat="1" ht="22.5" customHeight="1" x14ac:dyDescent="0.25">
      <c r="A88" s="32" t="s">
        <v>158</v>
      </c>
      <c r="B88" s="23" t="s">
        <v>159</v>
      </c>
      <c r="C88" s="24">
        <v>12000</v>
      </c>
      <c r="D88" s="56">
        <v>196</v>
      </c>
      <c r="E88" s="24">
        <v>12196</v>
      </c>
      <c r="F88" s="24">
        <v>10196</v>
      </c>
      <c r="G88" s="24">
        <v>0</v>
      </c>
      <c r="H88" s="24">
        <v>4722.72</v>
      </c>
      <c r="I88" s="24">
        <f>SUM(5227+H88)</f>
        <v>9949.7200000000012</v>
      </c>
      <c r="J88" s="27">
        <f t="shared" si="16"/>
        <v>246.27999999999884</v>
      </c>
      <c r="K88" s="28">
        <f t="shared" si="17"/>
        <v>-2476.4400000000014</v>
      </c>
      <c r="L88" s="24">
        <f t="shared" si="25"/>
        <v>2000</v>
      </c>
      <c r="M88" s="24">
        <v>4086.98</v>
      </c>
      <c r="N88" s="24">
        <f t="shared" si="18"/>
        <v>5862.7400000000016</v>
      </c>
      <c r="O88" s="29">
        <f t="shared" si="22"/>
        <v>0.97584542958022769</v>
      </c>
      <c r="P88" s="14">
        <f t="shared" si="23"/>
        <v>0.38723515906854711</v>
      </c>
      <c r="Q88" s="15">
        <f t="shared" si="24"/>
        <v>0.81581830108232212</v>
      </c>
    </row>
    <row r="89" spans="1:17" s="64" customFormat="1" ht="22.5" customHeight="1" x14ac:dyDescent="0.25">
      <c r="A89" s="32" t="s">
        <v>160</v>
      </c>
      <c r="B89" s="23" t="s">
        <v>161</v>
      </c>
      <c r="C89" s="24">
        <v>2500</v>
      </c>
      <c r="D89" s="24"/>
      <c r="E89" s="24">
        <v>2500</v>
      </c>
      <c r="F89" s="24">
        <v>2250</v>
      </c>
      <c r="G89" s="24">
        <v>0</v>
      </c>
      <c r="H89" s="24">
        <v>0</v>
      </c>
      <c r="I89" s="24">
        <v>412.07</v>
      </c>
      <c r="J89" s="27">
        <f t="shared" si="16"/>
        <v>1837.93</v>
      </c>
      <c r="K89" s="28">
        <f t="shared" si="17"/>
        <v>2087.9299999999998</v>
      </c>
      <c r="L89" s="24">
        <f t="shared" si="25"/>
        <v>250</v>
      </c>
      <c r="M89" s="24">
        <v>74.040000000000006</v>
      </c>
      <c r="N89" s="24">
        <f t="shared" si="18"/>
        <v>338.03</v>
      </c>
      <c r="O89" s="29">
        <f t="shared" si="22"/>
        <v>0.18314222222222221</v>
      </c>
      <c r="P89" s="14">
        <f t="shared" si="23"/>
        <v>0</v>
      </c>
      <c r="Q89" s="15">
        <f t="shared" si="24"/>
        <v>0.164828</v>
      </c>
    </row>
    <row r="90" spans="1:17" s="64" customFormat="1" ht="22.5" customHeight="1" x14ac:dyDescent="0.25">
      <c r="A90" s="32" t="s">
        <v>162</v>
      </c>
      <c r="B90" s="23" t="s">
        <v>163</v>
      </c>
      <c r="C90" s="24">
        <v>6000</v>
      </c>
      <c r="D90" s="24"/>
      <c r="E90" s="24">
        <v>6000</v>
      </c>
      <c r="F90" s="24">
        <v>6000</v>
      </c>
      <c r="G90" s="24">
        <v>0</v>
      </c>
      <c r="H90" s="24">
        <v>46.51</v>
      </c>
      <c r="I90" s="24">
        <f>SUM(899+H90)</f>
        <v>945.51</v>
      </c>
      <c r="J90" s="27">
        <f t="shared" si="16"/>
        <v>5054.49</v>
      </c>
      <c r="K90" s="28">
        <f t="shared" si="17"/>
        <v>5007.9799999999996</v>
      </c>
      <c r="L90" s="24">
        <f t="shared" si="25"/>
        <v>0</v>
      </c>
      <c r="M90" s="24">
        <v>56.63</v>
      </c>
      <c r="N90" s="24">
        <f t="shared" si="18"/>
        <v>888.88</v>
      </c>
      <c r="O90" s="29">
        <f t="shared" si="22"/>
        <v>0.157585</v>
      </c>
      <c r="P90" s="14">
        <f t="shared" si="23"/>
        <v>7.7516666666666663E-3</v>
      </c>
      <c r="Q90" s="15">
        <f t="shared" si="24"/>
        <v>0.157585</v>
      </c>
    </row>
    <row r="91" spans="1:17" s="64" customFormat="1" ht="22.5" customHeight="1" x14ac:dyDescent="0.25">
      <c r="A91" s="32">
        <v>291</v>
      </c>
      <c r="B91" s="23" t="s">
        <v>164</v>
      </c>
      <c r="C91" s="24">
        <v>0</v>
      </c>
      <c r="D91" s="24">
        <v>2147</v>
      </c>
      <c r="E91" s="24">
        <v>2147</v>
      </c>
      <c r="F91" s="24">
        <v>2147</v>
      </c>
      <c r="G91" s="24">
        <v>0</v>
      </c>
      <c r="H91" s="24">
        <v>0</v>
      </c>
      <c r="I91" s="24">
        <v>1180.96</v>
      </c>
      <c r="J91" s="27">
        <f t="shared" si="16"/>
        <v>966.04</v>
      </c>
      <c r="K91" s="28">
        <f t="shared" si="17"/>
        <v>966.04</v>
      </c>
      <c r="L91" s="24">
        <f t="shared" si="25"/>
        <v>0</v>
      </c>
      <c r="M91" s="24">
        <v>472</v>
      </c>
      <c r="N91" s="24">
        <f t="shared" si="18"/>
        <v>708.96</v>
      </c>
      <c r="O91" s="29">
        <v>0</v>
      </c>
      <c r="P91" s="14">
        <v>0</v>
      </c>
      <c r="Q91" s="15">
        <v>0</v>
      </c>
    </row>
    <row r="92" spans="1:17" s="64" customFormat="1" ht="22.5" customHeight="1" x14ac:dyDescent="0.25">
      <c r="A92" s="32">
        <v>293</v>
      </c>
      <c r="B92" s="23" t="s">
        <v>165</v>
      </c>
      <c r="C92" s="24">
        <v>0</v>
      </c>
      <c r="D92" s="24">
        <v>139</v>
      </c>
      <c r="E92" s="24">
        <v>139</v>
      </c>
      <c r="F92" s="24">
        <v>139</v>
      </c>
      <c r="G92" s="24">
        <v>0</v>
      </c>
      <c r="H92" s="24">
        <v>0</v>
      </c>
      <c r="I92" s="24">
        <v>19.7</v>
      </c>
      <c r="J92" s="27">
        <f t="shared" si="16"/>
        <v>119.3</v>
      </c>
      <c r="K92" s="28">
        <f t="shared" si="17"/>
        <v>119.3</v>
      </c>
      <c r="L92" s="24">
        <f t="shared" si="25"/>
        <v>0</v>
      </c>
      <c r="M92" s="24">
        <v>0</v>
      </c>
      <c r="N92" s="24">
        <f t="shared" si="18"/>
        <v>19.7</v>
      </c>
      <c r="O92" s="29">
        <v>0</v>
      </c>
      <c r="P92" s="14">
        <v>0</v>
      </c>
      <c r="Q92" s="15">
        <v>0</v>
      </c>
    </row>
    <row r="93" spans="1:17" s="64" customFormat="1" ht="22.5" customHeight="1" x14ac:dyDescent="0.25">
      <c r="A93" s="32">
        <v>294</v>
      </c>
      <c r="B93" s="23" t="s">
        <v>166</v>
      </c>
      <c r="C93" s="24">
        <v>0</v>
      </c>
      <c r="D93" s="24">
        <v>100</v>
      </c>
      <c r="E93" s="24">
        <v>100</v>
      </c>
      <c r="F93" s="24">
        <v>100</v>
      </c>
      <c r="G93" s="24">
        <v>0</v>
      </c>
      <c r="H93" s="24">
        <v>0</v>
      </c>
      <c r="I93" s="24">
        <v>14.18</v>
      </c>
      <c r="J93" s="27">
        <f t="shared" si="16"/>
        <v>85.82</v>
      </c>
      <c r="K93" s="28">
        <f t="shared" si="17"/>
        <v>85.82</v>
      </c>
      <c r="L93" s="24">
        <f t="shared" si="25"/>
        <v>0</v>
      </c>
      <c r="M93" s="24">
        <v>0</v>
      </c>
      <c r="N93" s="24">
        <f t="shared" si="18"/>
        <v>14.18</v>
      </c>
      <c r="O93" s="29">
        <v>0</v>
      </c>
      <c r="P93" s="14">
        <v>0</v>
      </c>
      <c r="Q93" s="15">
        <v>0</v>
      </c>
    </row>
    <row r="94" spans="1:17" s="64" customFormat="1" ht="22.5" customHeight="1" x14ac:dyDescent="0.25">
      <c r="A94" s="32">
        <v>295</v>
      </c>
      <c r="B94" s="23" t="s">
        <v>167</v>
      </c>
      <c r="C94" s="24">
        <v>0</v>
      </c>
      <c r="D94" s="24">
        <v>70</v>
      </c>
      <c r="E94" s="24">
        <v>70</v>
      </c>
      <c r="F94" s="24">
        <v>70</v>
      </c>
      <c r="G94" s="24">
        <v>0</v>
      </c>
      <c r="H94" s="24">
        <v>0</v>
      </c>
      <c r="I94" s="24">
        <v>9.92</v>
      </c>
      <c r="J94" s="27">
        <f t="shared" si="16"/>
        <v>60.08</v>
      </c>
      <c r="K94" s="28">
        <f t="shared" si="17"/>
        <v>60.08</v>
      </c>
      <c r="L94" s="24">
        <f t="shared" si="25"/>
        <v>0</v>
      </c>
      <c r="M94" s="24">
        <v>0</v>
      </c>
      <c r="N94" s="24">
        <f t="shared" ref="N94:N112" si="26">SUM(I94-M94)</f>
        <v>9.92</v>
      </c>
      <c r="O94" s="29">
        <v>0</v>
      </c>
      <c r="P94" s="14">
        <v>0</v>
      </c>
      <c r="Q94" s="15">
        <v>0</v>
      </c>
    </row>
    <row r="95" spans="1:17" s="64" customFormat="1" ht="22.5" customHeight="1" x14ac:dyDescent="0.25">
      <c r="A95" s="32">
        <v>296</v>
      </c>
      <c r="B95" s="23" t="s">
        <v>168</v>
      </c>
      <c r="C95" s="24">
        <v>0</v>
      </c>
      <c r="D95" s="24">
        <v>26</v>
      </c>
      <c r="E95" s="24">
        <v>26</v>
      </c>
      <c r="F95" s="24">
        <v>26</v>
      </c>
      <c r="G95" s="24">
        <v>0</v>
      </c>
      <c r="H95" s="24">
        <v>0</v>
      </c>
      <c r="I95" s="24">
        <v>25.55</v>
      </c>
      <c r="J95" s="27">
        <f t="shared" si="16"/>
        <v>0.44999999999999929</v>
      </c>
      <c r="K95" s="28">
        <f t="shared" si="17"/>
        <v>0.44999999999999929</v>
      </c>
      <c r="L95" s="24">
        <f t="shared" si="25"/>
        <v>0</v>
      </c>
      <c r="M95" s="24">
        <v>25.47</v>
      </c>
      <c r="N95" s="24">
        <f t="shared" si="26"/>
        <v>8.0000000000001847E-2</v>
      </c>
      <c r="O95" s="29">
        <v>0</v>
      </c>
      <c r="P95" s="14">
        <v>0</v>
      </c>
      <c r="Q95" s="15">
        <v>0</v>
      </c>
    </row>
    <row r="96" spans="1:17" s="64" customFormat="1" ht="22.5" customHeight="1" x14ac:dyDescent="0.25">
      <c r="A96" s="32">
        <v>298</v>
      </c>
      <c r="B96" s="23" t="s">
        <v>169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7">
        <f t="shared" si="16"/>
        <v>0</v>
      </c>
      <c r="K96" s="28">
        <f t="shared" si="17"/>
        <v>0</v>
      </c>
      <c r="L96" s="24">
        <f t="shared" si="25"/>
        <v>0</v>
      </c>
      <c r="M96" s="24">
        <v>0</v>
      </c>
      <c r="N96" s="24">
        <f t="shared" si="26"/>
        <v>0</v>
      </c>
      <c r="O96" s="29">
        <v>0</v>
      </c>
      <c r="P96" s="14">
        <v>0</v>
      </c>
      <c r="Q96" s="15">
        <v>0</v>
      </c>
    </row>
    <row r="97" spans="1:17" s="64" customFormat="1" ht="22.5" customHeight="1" x14ac:dyDescent="0.25">
      <c r="A97" s="60"/>
      <c r="B97" s="61" t="s">
        <v>170</v>
      </c>
      <c r="C97" s="62">
        <f>SUM(C98:C104)</f>
        <v>77900</v>
      </c>
      <c r="D97" s="62">
        <f>SUM(D98:D106)</f>
        <v>13643</v>
      </c>
      <c r="E97" s="62">
        <f>SUM(E98:E106)</f>
        <v>91543</v>
      </c>
      <c r="F97" s="62">
        <f>SUM(F98:F106)</f>
        <v>90693</v>
      </c>
      <c r="G97" s="62">
        <v>0</v>
      </c>
      <c r="H97" s="62">
        <f>SUM(H98:H106)</f>
        <v>2377.4899999999998</v>
      </c>
      <c r="I97" s="62">
        <f>SUM(I98:I106)</f>
        <v>49243.43</v>
      </c>
      <c r="J97" s="62">
        <f>SUM(F97-I97)</f>
        <v>41449.57</v>
      </c>
      <c r="K97" s="62">
        <f>SUM(E97-G97-I97)</f>
        <v>42299.57</v>
      </c>
      <c r="L97" s="62">
        <f t="shared" si="25"/>
        <v>850</v>
      </c>
      <c r="M97" s="62">
        <f>SUM(M98:M106)</f>
        <v>35754.699999999997</v>
      </c>
      <c r="N97" s="62">
        <f t="shared" si="26"/>
        <v>13488.730000000003</v>
      </c>
      <c r="O97" s="63">
        <f>SUM(I97/F97*100%)</f>
        <v>0.54296836580551977</v>
      </c>
      <c r="P97" s="43">
        <f>SUM(H97/E97)</f>
        <v>2.5971292179631428E-2</v>
      </c>
      <c r="Q97" s="15">
        <f>SUM(I97/E97*100%)</f>
        <v>0.53792676665610695</v>
      </c>
    </row>
    <row r="98" spans="1:17" s="64" customFormat="1" ht="22.5" customHeight="1" x14ac:dyDescent="0.25">
      <c r="A98" s="22" t="s">
        <v>171</v>
      </c>
      <c r="B98" s="65" t="s">
        <v>172</v>
      </c>
      <c r="C98" s="24">
        <v>15000</v>
      </c>
      <c r="D98" s="24">
        <v>-5000</v>
      </c>
      <c r="E98" s="24">
        <v>10000</v>
      </c>
      <c r="F98" s="24">
        <v>10000</v>
      </c>
      <c r="G98" s="24">
        <v>0</v>
      </c>
      <c r="H98" s="24">
        <v>0</v>
      </c>
      <c r="I98" s="24">
        <v>1426.89</v>
      </c>
      <c r="J98" s="27">
        <f>F98-I98-G98</f>
        <v>8573.11</v>
      </c>
      <c r="K98" s="28">
        <f t="shared" ref="K98:K106" si="27">SUM(E98-H98-I98)</f>
        <v>8573.11</v>
      </c>
      <c r="L98" s="24">
        <f t="shared" si="25"/>
        <v>0</v>
      </c>
      <c r="M98" s="24">
        <v>0</v>
      </c>
      <c r="N98" s="24">
        <f t="shared" si="26"/>
        <v>1426.89</v>
      </c>
      <c r="O98" s="29">
        <v>0</v>
      </c>
      <c r="P98" s="14">
        <v>0</v>
      </c>
      <c r="Q98" s="15">
        <v>0</v>
      </c>
    </row>
    <row r="99" spans="1:17" s="64" customFormat="1" ht="22.5" customHeight="1" x14ac:dyDescent="0.25">
      <c r="A99" s="22">
        <v>314</v>
      </c>
      <c r="B99" s="65" t="s">
        <v>173</v>
      </c>
      <c r="C99" s="24">
        <v>26000</v>
      </c>
      <c r="D99" s="24">
        <v>-13000</v>
      </c>
      <c r="E99" s="24">
        <v>13000</v>
      </c>
      <c r="F99" s="24">
        <v>13000</v>
      </c>
      <c r="G99" s="24">
        <v>0</v>
      </c>
      <c r="H99" s="24">
        <v>0</v>
      </c>
      <c r="I99" s="24">
        <v>1854.96</v>
      </c>
      <c r="J99" s="27">
        <f t="shared" ref="J99:J104" si="28">F99-I99-G99</f>
        <v>11145.04</v>
      </c>
      <c r="K99" s="28">
        <f t="shared" si="27"/>
        <v>11145.04</v>
      </c>
      <c r="L99" s="24">
        <f t="shared" si="25"/>
        <v>0</v>
      </c>
      <c r="M99" s="24">
        <v>0</v>
      </c>
      <c r="N99" s="24">
        <f t="shared" si="26"/>
        <v>1854.96</v>
      </c>
      <c r="O99" s="29">
        <v>0</v>
      </c>
      <c r="P99" s="14">
        <v>0</v>
      </c>
      <c r="Q99" s="15">
        <v>0</v>
      </c>
    </row>
    <row r="100" spans="1:17" s="64" customFormat="1" ht="22.5" customHeight="1" x14ac:dyDescent="0.25">
      <c r="A100" s="22">
        <v>320</v>
      </c>
      <c r="B100" s="65" t="s">
        <v>174</v>
      </c>
      <c r="C100" s="24">
        <v>400</v>
      </c>
      <c r="D100" s="24"/>
      <c r="E100" s="24">
        <v>400</v>
      </c>
      <c r="F100" s="24">
        <v>300</v>
      </c>
      <c r="G100" s="24">
        <v>0</v>
      </c>
      <c r="H100" s="24">
        <v>0</v>
      </c>
      <c r="I100" s="24">
        <v>57.08</v>
      </c>
      <c r="J100" s="27">
        <f t="shared" si="28"/>
        <v>242.92000000000002</v>
      </c>
      <c r="K100" s="28">
        <f t="shared" si="27"/>
        <v>342.92</v>
      </c>
      <c r="L100" s="24">
        <f t="shared" si="25"/>
        <v>100</v>
      </c>
      <c r="M100" s="24">
        <v>0</v>
      </c>
      <c r="N100" s="24">
        <f t="shared" si="26"/>
        <v>57.08</v>
      </c>
      <c r="O100" s="29">
        <v>0</v>
      </c>
      <c r="P100" s="14">
        <v>0</v>
      </c>
      <c r="Q100" s="15">
        <v>0</v>
      </c>
    </row>
    <row r="101" spans="1:17" s="64" customFormat="1" ht="22.5" customHeight="1" x14ac:dyDescent="0.25">
      <c r="A101" s="22" t="s">
        <v>175</v>
      </c>
      <c r="B101" s="65" t="s">
        <v>176</v>
      </c>
      <c r="C101" s="24">
        <v>2000</v>
      </c>
      <c r="D101" s="24"/>
      <c r="E101" s="24">
        <v>2000</v>
      </c>
      <c r="F101" s="24">
        <v>1750</v>
      </c>
      <c r="G101" s="24">
        <v>0</v>
      </c>
      <c r="H101" s="24">
        <v>0</v>
      </c>
      <c r="I101" s="24">
        <v>285.38</v>
      </c>
      <c r="J101" s="27">
        <f t="shared" si="28"/>
        <v>1464.62</v>
      </c>
      <c r="K101" s="28">
        <f t="shared" si="27"/>
        <v>1714.62</v>
      </c>
      <c r="L101" s="24">
        <f t="shared" si="25"/>
        <v>250</v>
      </c>
      <c r="M101" s="24">
        <v>0</v>
      </c>
      <c r="N101" s="24">
        <f t="shared" si="26"/>
        <v>285.38</v>
      </c>
      <c r="O101" s="29">
        <f>SUM(I101/F101*100%)</f>
        <v>0.1630742857142857</v>
      </c>
      <c r="P101" s="14">
        <f>SUM(H101/E101)</f>
        <v>0</v>
      </c>
      <c r="Q101" s="66">
        <f>SUM(I101/F101*100%)</f>
        <v>0.1630742857142857</v>
      </c>
    </row>
    <row r="102" spans="1:17" s="64" customFormat="1" ht="22.5" customHeight="1" x14ac:dyDescent="0.25">
      <c r="A102" s="22" t="s">
        <v>177</v>
      </c>
      <c r="B102" s="65" t="s">
        <v>178</v>
      </c>
      <c r="C102" s="24">
        <v>7000</v>
      </c>
      <c r="D102" s="24"/>
      <c r="E102" s="24">
        <v>7000</v>
      </c>
      <c r="F102" s="24">
        <v>6500</v>
      </c>
      <c r="G102" s="24">
        <v>0</v>
      </c>
      <c r="H102" s="24">
        <v>0</v>
      </c>
      <c r="I102" s="24">
        <v>998.82</v>
      </c>
      <c r="J102" s="27">
        <f t="shared" si="28"/>
        <v>5501.18</v>
      </c>
      <c r="K102" s="28">
        <f t="shared" si="27"/>
        <v>6001.18</v>
      </c>
      <c r="L102" s="24">
        <f t="shared" si="25"/>
        <v>500</v>
      </c>
      <c r="M102" s="24">
        <v>0</v>
      </c>
      <c r="N102" s="24">
        <f t="shared" si="26"/>
        <v>998.82</v>
      </c>
      <c r="O102" s="29">
        <f>SUM(I102/F102*100%)</f>
        <v>0.1536646153846154</v>
      </c>
      <c r="P102" s="14">
        <f>SUM(H102/E102)</f>
        <v>0</v>
      </c>
      <c r="Q102" s="66">
        <f>SUM(I102/F102*100%)</f>
        <v>0.1536646153846154</v>
      </c>
    </row>
    <row r="103" spans="1:17" s="64" customFormat="1" ht="22.5" customHeight="1" x14ac:dyDescent="0.25">
      <c r="A103" s="22" t="s">
        <v>179</v>
      </c>
      <c r="B103" s="65" t="s">
        <v>170</v>
      </c>
      <c r="C103" s="24">
        <v>7500</v>
      </c>
      <c r="D103" s="24"/>
      <c r="E103" s="24">
        <v>7500</v>
      </c>
      <c r="F103" s="24">
        <v>7500</v>
      </c>
      <c r="G103" s="24">
        <v>0</v>
      </c>
      <c r="H103" s="24">
        <v>0</v>
      </c>
      <c r="I103" s="24">
        <v>3934.87</v>
      </c>
      <c r="J103" s="27">
        <f t="shared" si="28"/>
        <v>3565.13</v>
      </c>
      <c r="K103" s="28">
        <f t="shared" si="27"/>
        <v>3565.13</v>
      </c>
      <c r="L103" s="24">
        <f t="shared" si="25"/>
        <v>0</v>
      </c>
      <c r="M103" s="24">
        <v>623.70000000000005</v>
      </c>
      <c r="N103" s="24">
        <f t="shared" si="26"/>
        <v>3311.17</v>
      </c>
      <c r="O103" s="29">
        <f>SUM(I103/F103*100%)</f>
        <v>0.5246493333333333</v>
      </c>
      <c r="P103" s="14">
        <f>SUM(H103/E103)</f>
        <v>0</v>
      </c>
      <c r="Q103" s="66">
        <f>SUM(I103/F103*100%)</f>
        <v>0.5246493333333333</v>
      </c>
    </row>
    <row r="104" spans="1:17" s="64" customFormat="1" ht="22.5" customHeight="1" x14ac:dyDescent="0.25">
      <c r="A104" s="22">
        <v>380</v>
      </c>
      <c r="B104" s="65" t="s">
        <v>180</v>
      </c>
      <c r="C104" s="24">
        <v>20000</v>
      </c>
      <c r="D104" s="56">
        <v>-3500</v>
      </c>
      <c r="E104" s="24">
        <v>16500</v>
      </c>
      <c r="F104" s="24">
        <v>16500</v>
      </c>
      <c r="G104" s="24">
        <v>0</v>
      </c>
      <c r="H104" s="24">
        <v>2377.4899999999998</v>
      </c>
      <c r="I104" s="24">
        <f>SUM(3175+H104)</f>
        <v>5552.49</v>
      </c>
      <c r="J104" s="27">
        <f t="shared" si="28"/>
        <v>10947.51</v>
      </c>
      <c r="K104" s="28">
        <f t="shared" si="27"/>
        <v>8570.02</v>
      </c>
      <c r="L104" s="24">
        <f t="shared" si="25"/>
        <v>0</v>
      </c>
      <c r="M104" s="24">
        <v>0</v>
      </c>
      <c r="N104" s="24">
        <f t="shared" si="26"/>
        <v>5552.49</v>
      </c>
      <c r="O104" s="29">
        <f>SUM(I104/F104*100%)</f>
        <v>0.33651454545454546</v>
      </c>
      <c r="P104" s="14">
        <f>SUM(H104/E104)</f>
        <v>0.14409030303030301</v>
      </c>
      <c r="Q104" s="66">
        <f>SUM(I104/F104*100%)</f>
        <v>0.33651454545454546</v>
      </c>
    </row>
    <row r="105" spans="1:17" s="64" customFormat="1" ht="22.5" customHeight="1" x14ac:dyDescent="0.25">
      <c r="A105" s="22">
        <v>392</v>
      </c>
      <c r="B105" s="65" t="s">
        <v>181</v>
      </c>
      <c r="C105" s="24">
        <v>0</v>
      </c>
      <c r="D105" s="56">
        <v>33063</v>
      </c>
      <c r="E105" s="24">
        <v>33063</v>
      </c>
      <c r="F105" s="24">
        <v>33063</v>
      </c>
      <c r="G105" s="24">
        <v>0</v>
      </c>
      <c r="H105" s="24">
        <v>0</v>
      </c>
      <c r="I105" s="24">
        <v>33063</v>
      </c>
      <c r="J105" s="27">
        <f>F105-I105-G105</f>
        <v>0</v>
      </c>
      <c r="K105" s="28">
        <f t="shared" si="27"/>
        <v>0</v>
      </c>
      <c r="L105" s="24">
        <f t="shared" si="25"/>
        <v>0</v>
      </c>
      <c r="M105" s="24">
        <v>33063</v>
      </c>
      <c r="N105" s="24">
        <f t="shared" si="26"/>
        <v>0</v>
      </c>
      <c r="O105" s="29">
        <f>SUM(I105/F105*100%)</f>
        <v>1</v>
      </c>
      <c r="P105" s="14">
        <f>SUM(H105/E105)</f>
        <v>0</v>
      </c>
      <c r="Q105" s="66">
        <f>SUM(I105/F105*100%)</f>
        <v>1</v>
      </c>
    </row>
    <row r="106" spans="1:17" s="64" customFormat="1" ht="22.5" customHeight="1" x14ac:dyDescent="0.25">
      <c r="A106" s="22">
        <v>396</v>
      </c>
      <c r="B106" s="65" t="s">
        <v>182</v>
      </c>
      <c r="C106" s="24">
        <v>0</v>
      </c>
      <c r="D106" s="56">
        <v>2080</v>
      </c>
      <c r="E106" s="24">
        <v>2080</v>
      </c>
      <c r="F106" s="24">
        <v>2080</v>
      </c>
      <c r="G106" s="24">
        <v>0</v>
      </c>
      <c r="H106" s="24">
        <v>0</v>
      </c>
      <c r="I106" s="24">
        <v>2069.94</v>
      </c>
      <c r="J106" s="27">
        <f>F106-H106-I106</f>
        <v>10.059999999999945</v>
      </c>
      <c r="K106" s="28">
        <f t="shared" si="27"/>
        <v>10.059999999999945</v>
      </c>
      <c r="L106" s="24">
        <f t="shared" si="25"/>
        <v>0</v>
      </c>
      <c r="M106" s="24">
        <v>2068</v>
      </c>
      <c r="N106" s="24">
        <f t="shared" si="26"/>
        <v>1.9400000000000546</v>
      </c>
      <c r="O106" s="29">
        <v>0</v>
      </c>
      <c r="P106" s="14">
        <v>0</v>
      </c>
      <c r="Q106" s="66">
        <v>0</v>
      </c>
    </row>
    <row r="107" spans="1:17" s="64" customFormat="1" ht="22.5" customHeight="1" x14ac:dyDescent="0.25">
      <c r="A107" s="60"/>
      <c r="B107" s="61" t="s">
        <v>183</v>
      </c>
      <c r="C107" s="62">
        <f>SUM(C108:C112)</f>
        <v>176700</v>
      </c>
      <c r="D107" s="62">
        <f>SUM(D108)</f>
        <v>525</v>
      </c>
      <c r="E107" s="62">
        <f>SUM(E108:E112)</f>
        <v>139810</v>
      </c>
      <c r="F107" s="62">
        <f>SUM(F108:F112)</f>
        <v>139810</v>
      </c>
      <c r="G107" s="62">
        <v>0</v>
      </c>
      <c r="H107" s="62">
        <f>SUM(H108:H112)</f>
        <v>53641.39</v>
      </c>
      <c r="I107" s="67">
        <f>SUM(I108:I112)</f>
        <v>107828.06</v>
      </c>
      <c r="J107" s="62">
        <f>SUM(F107-I107)</f>
        <v>31981.940000000002</v>
      </c>
      <c r="K107" s="62">
        <f>SUM(E107-G107-I107)</f>
        <v>31981.940000000002</v>
      </c>
      <c r="L107" s="62">
        <f t="shared" ref="L107:L112" si="29">SUM(E107-F107)</f>
        <v>0</v>
      </c>
      <c r="M107" s="62">
        <f>SUM(M108:M112)</f>
        <v>979.89</v>
      </c>
      <c r="N107" s="62">
        <f t="shared" si="26"/>
        <v>106848.17</v>
      </c>
      <c r="O107" s="21">
        <f>SUM(I107/F107*100%)</f>
        <v>0.77124712109291182</v>
      </c>
      <c r="P107" s="43">
        <f>SUM(H107/E107)</f>
        <v>0.38367348544453184</v>
      </c>
      <c r="Q107" s="15">
        <f>SUM(I107/F107*100%)</f>
        <v>0.77124712109291182</v>
      </c>
    </row>
    <row r="108" spans="1:17" s="64" customFormat="1" ht="22.5" customHeight="1" x14ac:dyDescent="0.25">
      <c r="A108" s="32" t="s">
        <v>184</v>
      </c>
      <c r="B108" s="23" t="s">
        <v>185</v>
      </c>
      <c r="C108" s="24">
        <v>15000</v>
      </c>
      <c r="D108" s="24">
        <v>525</v>
      </c>
      <c r="E108" s="31">
        <v>15525</v>
      </c>
      <c r="F108" s="24">
        <v>15525</v>
      </c>
      <c r="G108" s="24">
        <v>0</v>
      </c>
      <c r="H108" s="24">
        <v>3641.39</v>
      </c>
      <c r="I108" s="24">
        <f>SUM(4154+H108)</f>
        <v>7795.3899999999994</v>
      </c>
      <c r="J108" s="27">
        <f>F108-I108-G108</f>
        <v>7729.6100000000006</v>
      </c>
      <c r="K108" s="28">
        <f>SUM(E108-H108-I108)</f>
        <v>4088.2200000000012</v>
      </c>
      <c r="L108" s="24">
        <f t="shared" si="29"/>
        <v>0</v>
      </c>
      <c r="M108" s="24">
        <v>947.22</v>
      </c>
      <c r="N108" s="24">
        <f t="shared" si="26"/>
        <v>6848.1699999999992</v>
      </c>
      <c r="O108" s="29">
        <f>SUM(I108/F108*100%)</f>
        <v>0.50211851851851852</v>
      </c>
      <c r="P108" s="43">
        <f>SUM(H108/E108)</f>
        <v>0.23455008051529791</v>
      </c>
      <c r="Q108" s="66">
        <f>SUM(I108/F108*100%)</f>
        <v>0.50211851851851852</v>
      </c>
    </row>
    <row r="109" spans="1:17" s="64" customFormat="1" ht="22.5" customHeight="1" x14ac:dyDescent="0.25">
      <c r="A109" s="32" t="s">
        <v>186</v>
      </c>
      <c r="B109" s="23" t="s">
        <v>187</v>
      </c>
      <c r="C109" s="24">
        <v>10000</v>
      </c>
      <c r="D109" s="24">
        <v>-7578</v>
      </c>
      <c r="E109" s="24">
        <v>2422</v>
      </c>
      <c r="F109" s="24">
        <v>2422</v>
      </c>
      <c r="G109" s="24">
        <v>0</v>
      </c>
      <c r="H109" s="24">
        <v>0</v>
      </c>
      <c r="I109" s="24">
        <v>0</v>
      </c>
      <c r="J109" s="27">
        <f>F109-I109-G109</f>
        <v>2422</v>
      </c>
      <c r="K109" s="28">
        <f>SUM(E109-H109-I109)</f>
        <v>2422</v>
      </c>
      <c r="L109" s="24">
        <f t="shared" si="29"/>
        <v>0</v>
      </c>
      <c r="M109" s="24">
        <v>0</v>
      </c>
      <c r="N109" s="24">
        <f t="shared" si="26"/>
        <v>0</v>
      </c>
      <c r="O109" s="29">
        <f>SUM(I109/F109*100%)</f>
        <v>0</v>
      </c>
      <c r="P109" s="43">
        <f>SUM(H109/E109)</f>
        <v>0</v>
      </c>
      <c r="Q109" s="66">
        <f>SUM(I109/F109*100%)</f>
        <v>0</v>
      </c>
    </row>
    <row r="110" spans="1:17" s="64" customFormat="1" ht="22.5" customHeight="1" x14ac:dyDescent="0.25">
      <c r="A110" s="32">
        <v>641</v>
      </c>
      <c r="B110" s="23" t="s">
        <v>188</v>
      </c>
      <c r="C110" s="24">
        <v>21700</v>
      </c>
      <c r="D110" s="24"/>
      <c r="E110" s="24">
        <v>21700</v>
      </c>
      <c r="F110" s="24">
        <v>21700</v>
      </c>
      <c r="G110" s="24">
        <v>0</v>
      </c>
      <c r="H110" s="24"/>
      <c r="I110" s="24">
        <v>0</v>
      </c>
      <c r="J110" s="27">
        <f>F110-I110-G110</f>
        <v>21700</v>
      </c>
      <c r="K110" s="28">
        <f>SUM(E110-H110-I110)</f>
        <v>21700</v>
      </c>
      <c r="L110" s="24">
        <f t="shared" si="29"/>
        <v>0</v>
      </c>
      <c r="M110" s="24">
        <v>0</v>
      </c>
      <c r="N110" s="62">
        <f t="shared" si="26"/>
        <v>0</v>
      </c>
      <c r="O110" s="29">
        <f>SUM(I110/F110*100%)</f>
        <v>0</v>
      </c>
      <c r="P110" s="43">
        <f>SUM(H110/E110)</f>
        <v>0</v>
      </c>
      <c r="Q110" s="66">
        <f>SUM(I110/F110*100%)</f>
        <v>0</v>
      </c>
    </row>
    <row r="111" spans="1:17" s="64" customFormat="1" ht="22.5" customHeight="1" x14ac:dyDescent="0.25">
      <c r="A111" s="68">
        <v>669</v>
      </c>
      <c r="B111" s="69" t="s">
        <v>189</v>
      </c>
      <c r="C111" s="33">
        <v>130000</v>
      </c>
      <c r="D111" s="70">
        <v>-30000</v>
      </c>
      <c r="E111" s="33">
        <v>100000</v>
      </c>
      <c r="F111" s="33">
        <v>100000</v>
      </c>
      <c r="G111" s="70">
        <v>0</v>
      </c>
      <c r="H111" s="33">
        <v>50000</v>
      </c>
      <c r="I111" s="24">
        <f>SUM(50000+H111)</f>
        <v>100000</v>
      </c>
      <c r="J111" s="27">
        <f>F111-I111-G111</f>
        <v>0</v>
      </c>
      <c r="K111" s="28">
        <f>SUM(E111-H111-I111)</f>
        <v>-50000</v>
      </c>
      <c r="L111" s="24">
        <f t="shared" si="29"/>
        <v>0</v>
      </c>
      <c r="M111" s="24">
        <v>0</v>
      </c>
      <c r="N111" s="62">
        <f t="shared" si="26"/>
        <v>100000</v>
      </c>
      <c r="O111" s="71">
        <f>SUM(I111/F111*100%)</f>
        <v>1</v>
      </c>
      <c r="P111" s="43">
        <f>SUM(H111/E111)</f>
        <v>0.5</v>
      </c>
      <c r="Q111" s="66">
        <f>SUM(I111/F111*100%)</f>
        <v>1</v>
      </c>
    </row>
    <row r="112" spans="1:17" s="64" customFormat="1" ht="22.5" customHeight="1" thickBot="1" x14ac:dyDescent="0.3">
      <c r="A112" s="72">
        <v>693</v>
      </c>
      <c r="B112" s="73" t="s">
        <v>190</v>
      </c>
      <c r="C112" s="74">
        <v>0</v>
      </c>
      <c r="D112" s="75">
        <v>163</v>
      </c>
      <c r="E112" s="74">
        <v>163</v>
      </c>
      <c r="F112" s="74">
        <v>163</v>
      </c>
      <c r="G112" s="75">
        <v>0</v>
      </c>
      <c r="H112" s="75">
        <v>0</v>
      </c>
      <c r="I112" s="76">
        <v>32.67</v>
      </c>
      <c r="J112" s="77">
        <f>F112-I112-G112</f>
        <v>130.32999999999998</v>
      </c>
      <c r="K112" s="78">
        <f>SUM(E112-H112-I112)</f>
        <v>130.32999999999998</v>
      </c>
      <c r="L112" s="76">
        <f t="shared" si="29"/>
        <v>0</v>
      </c>
      <c r="M112" s="76">
        <v>32.67</v>
      </c>
      <c r="N112" s="79">
        <f t="shared" si="26"/>
        <v>0</v>
      </c>
      <c r="O112" s="80">
        <v>0</v>
      </c>
      <c r="P112" s="81">
        <v>0</v>
      </c>
      <c r="Q112" s="82">
        <v>0</v>
      </c>
    </row>
    <row r="113" spans="1:17" ht="22.5" customHeight="1" x14ac:dyDescent="0.3">
      <c r="A113" s="83" t="s">
        <v>191</v>
      </c>
      <c r="B113" s="84"/>
      <c r="C113" s="85"/>
      <c r="D113" s="85"/>
      <c r="E113" s="85"/>
      <c r="F113" s="85"/>
      <c r="G113" s="85"/>
      <c r="H113" s="85"/>
      <c r="I113" s="86"/>
      <c r="J113" s="85"/>
      <c r="K113" s="86"/>
      <c r="L113" s="85"/>
      <c r="M113" s="86"/>
      <c r="N113" s="85"/>
      <c r="O113" s="85"/>
      <c r="P113" s="85"/>
      <c r="Q113" s="87"/>
    </row>
    <row r="114" spans="1:17" ht="22.5" customHeight="1" x14ac:dyDescent="0.25">
      <c r="A114" s="83" t="s">
        <v>194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verticalDpi="597" r:id="rId1"/>
  <ignoredErrors>
    <ignoredError sqref="I10 I12:I14 I15:I16 O7:O10 O12:O16 Q7:Q8" unlockedFormula="1"/>
    <ignoredError sqref="G22:H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2019</vt:lpstr>
      <vt:lpstr>'SEPTIEMBRE 2019'!Área_de_impresión</vt:lpstr>
      <vt:lpstr>'SEPTIEMBRE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Vianed Ballesteros</cp:lastModifiedBy>
  <cp:lastPrinted>2019-10-03T14:03:57Z</cp:lastPrinted>
  <dcterms:created xsi:type="dcterms:W3CDTF">2019-06-18T16:01:20Z</dcterms:created>
  <dcterms:modified xsi:type="dcterms:W3CDTF">2019-10-04T15:18:02Z</dcterms:modified>
</cp:coreProperties>
</file>