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llesteros\Documents\PRESUPUESTO\EJECUCION PRESUPUESTARIA 2019\"/>
    </mc:Choice>
  </mc:AlternateContent>
  <bookViews>
    <workbookView xWindow="0" yWindow="0" windowWidth="24000" windowHeight="9255"/>
  </bookViews>
  <sheets>
    <sheet name="NOVIEMBRE 2019" sheetId="1" r:id="rId1"/>
    <sheet name="Hoja1" sheetId="2" r:id="rId2"/>
  </sheets>
  <definedNames>
    <definedName name="_xlnm.Print_Area" localSheetId="0">'NOVIEMBRE 2019'!$A$1:$Q$115</definedName>
    <definedName name="_xlnm.Print_Titles" localSheetId="0">'NOVIEMBRE 2019'!$1:$6</definedName>
  </definedNames>
  <calcPr calcId="162913"/>
</workbook>
</file>

<file path=xl/calcChain.xml><?xml version="1.0" encoding="utf-8"?>
<calcChain xmlns="http://schemas.openxmlformats.org/spreadsheetml/2006/main">
  <c r="I16" i="1" l="1"/>
  <c r="N22" i="1" l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23" i="1"/>
  <c r="E22" i="1" l="1"/>
  <c r="E7" i="1" s="1"/>
  <c r="F22" i="1"/>
  <c r="N61" i="1" l="1"/>
  <c r="J82" i="1"/>
  <c r="I82" i="1"/>
  <c r="K82" i="1" s="1"/>
  <c r="I83" i="1"/>
  <c r="I49" i="1"/>
  <c r="I110" i="1" l="1"/>
  <c r="I108" i="1"/>
  <c r="I107" i="1"/>
  <c r="I106" i="1"/>
  <c r="I105" i="1"/>
  <c r="I104" i="1"/>
  <c r="I103" i="1"/>
  <c r="I102" i="1"/>
  <c r="I101" i="1"/>
  <c r="I100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1" i="1"/>
  <c r="I80" i="1"/>
  <c r="I79" i="1"/>
  <c r="I78" i="1"/>
  <c r="I77" i="1"/>
  <c r="I76" i="1"/>
  <c r="I75" i="1"/>
  <c r="I73" i="1"/>
  <c r="I72" i="1"/>
  <c r="I71" i="1"/>
  <c r="I74" i="1"/>
  <c r="I70" i="1"/>
  <c r="I69" i="1"/>
  <c r="I68" i="1"/>
  <c r="I67" i="1"/>
  <c r="I66" i="1"/>
  <c r="I65" i="1"/>
  <c r="I64" i="1"/>
  <c r="I63" i="1"/>
  <c r="I62" i="1"/>
  <c r="I53" i="1"/>
  <c r="I52" i="1"/>
  <c r="I51" i="1"/>
  <c r="I50" i="1"/>
  <c r="I48" i="1"/>
  <c r="I47" i="1"/>
  <c r="I46" i="1"/>
  <c r="I45" i="1"/>
  <c r="I44" i="1"/>
  <c r="I43" i="1"/>
  <c r="I42" i="1"/>
  <c r="I41" i="1"/>
  <c r="I40" i="1"/>
  <c r="I38" i="1"/>
  <c r="I37" i="1"/>
  <c r="I36" i="1"/>
  <c r="I35" i="1"/>
  <c r="I32" i="1"/>
  <c r="I28" i="1"/>
  <c r="I23" i="1"/>
  <c r="I20" i="1"/>
  <c r="I19" i="1"/>
  <c r="I18" i="1"/>
  <c r="I15" i="1"/>
  <c r="I11" i="1"/>
  <c r="I17" i="1" l="1"/>
  <c r="I10" i="1"/>
  <c r="I9" i="1"/>
  <c r="E111" i="1" l="1"/>
  <c r="E112" i="1"/>
  <c r="E113" i="1"/>
  <c r="E114" i="1"/>
  <c r="E110" i="1"/>
  <c r="E101" i="1"/>
  <c r="E102" i="1"/>
  <c r="E103" i="1"/>
  <c r="E104" i="1"/>
  <c r="E105" i="1"/>
  <c r="E106" i="1"/>
  <c r="E107" i="1"/>
  <c r="E108" i="1"/>
  <c r="E100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L82" i="1" s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62" i="1"/>
  <c r="E10" i="1"/>
  <c r="E11" i="1"/>
  <c r="E12" i="1"/>
  <c r="E13" i="1"/>
  <c r="E14" i="1"/>
  <c r="E15" i="1"/>
  <c r="E16" i="1"/>
  <c r="E17" i="1"/>
  <c r="E18" i="1"/>
  <c r="E19" i="1"/>
  <c r="E20" i="1"/>
  <c r="E9" i="1"/>
  <c r="D109" i="1"/>
  <c r="D61" i="1"/>
  <c r="D22" i="1"/>
  <c r="H22" i="1"/>
  <c r="Q11" i="1" l="1"/>
  <c r="Q13" i="1"/>
  <c r="Q14" i="1"/>
  <c r="Q17" i="1"/>
  <c r="Q18" i="1"/>
  <c r="Q20" i="1"/>
  <c r="O9" i="1"/>
  <c r="O11" i="1"/>
  <c r="O13" i="1"/>
  <c r="O14" i="1"/>
  <c r="O17" i="1"/>
  <c r="O18" i="1"/>
  <c r="O20" i="1"/>
  <c r="N101" i="1"/>
  <c r="N102" i="1"/>
  <c r="N103" i="1"/>
  <c r="N104" i="1"/>
  <c r="N105" i="1"/>
  <c r="N107" i="1"/>
  <c r="N108" i="1"/>
  <c r="N63" i="1"/>
  <c r="N64" i="1"/>
  <c r="N65" i="1"/>
  <c r="N66" i="1"/>
  <c r="N67" i="1"/>
  <c r="N68" i="1"/>
  <c r="N69" i="1"/>
  <c r="N71" i="1"/>
  <c r="N72" i="1"/>
  <c r="N73" i="1"/>
  <c r="N74" i="1"/>
  <c r="N75" i="1"/>
  <c r="N76" i="1"/>
  <c r="N77" i="1"/>
  <c r="N78" i="1"/>
  <c r="N79" i="1"/>
  <c r="N80" i="1"/>
  <c r="N81" i="1"/>
  <c r="N83" i="1"/>
  <c r="N84" i="1"/>
  <c r="N85" i="1"/>
  <c r="N86" i="1"/>
  <c r="N87" i="1"/>
  <c r="N88" i="1"/>
  <c r="N89" i="1"/>
  <c r="N90" i="1"/>
  <c r="N91" i="1"/>
  <c r="N93" i="1"/>
  <c r="N94" i="1"/>
  <c r="N95" i="1"/>
  <c r="N96" i="1"/>
  <c r="N97" i="1"/>
  <c r="N98" i="1"/>
  <c r="N24" i="1"/>
  <c r="N25" i="1"/>
  <c r="N26" i="1"/>
  <c r="N27" i="1"/>
  <c r="N28" i="1"/>
  <c r="N29" i="1"/>
  <c r="N30" i="1"/>
  <c r="N33" i="1"/>
  <c r="N34" i="1"/>
  <c r="N36" i="1"/>
  <c r="N40" i="1"/>
  <c r="N41" i="1"/>
  <c r="N42" i="1"/>
  <c r="N43" i="1"/>
  <c r="N44" i="1"/>
  <c r="N45" i="1"/>
  <c r="N46" i="1"/>
  <c r="N48" i="1"/>
  <c r="N49" i="1"/>
  <c r="N50" i="1"/>
  <c r="N51" i="1"/>
  <c r="N52" i="1"/>
  <c r="N54" i="1"/>
  <c r="N55" i="1"/>
  <c r="N56" i="1"/>
  <c r="N57" i="1"/>
  <c r="N58" i="1"/>
  <c r="N59" i="1"/>
  <c r="N60" i="1"/>
  <c r="N11" i="1"/>
  <c r="N13" i="1"/>
  <c r="N14" i="1"/>
  <c r="N17" i="1"/>
  <c r="N18" i="1"/>
  <c r="N19" i="1"/>
  <c r="N20" i="1"/>
  <c r="K111" i="1"/>
  <c r="K112" i="1"/>
  <c r="K113" i="1"/>
  <c r="K114" i="1"/>
  <c r="K101" i="1"/>
  <c r="K102" i="1"/>
  <c r="K103" i="1"/>
  <c r="K104" i="1"/>
  <c r="K105" i="1"/>
  <c r="K107" i="1"/>
  <c r="K108" i="1"/>
  <c r="K100" i="1"/>
  <c r="K63" i="1"/>
  <c r="K64" i="1"/>
  <c r="K65" i="1"/>
  <c r="K66" i="1"/>
  <c r="K67" i="1"/>
  <c r="K68" i="1"/>
  <c r="K71" i="1"/>
  <c r="K72" i="1"/>
  <c r="K73" i="1"/>
  <c r="K74" i="1"/>
  <c r="K75" i="1"/>
  <c r="K76" i="1"/>
  <c r="K77" i="1"/>
  <c r="K78" i="1"/>
  <c r="K79" i="1"/>
  <c r="K80" i="1"/>
  <c r="K81" i="1"/>
  <c r="K83" i="1"/>
  <c r="K84" i="1"/>
  <c r="K85" i="1"/>
  <c r="K86" i="1"/>
  <c r="K87" i="1"/>
  <c r="K88" i="1"/>
  <c r="K89" i="1"/>
  <c r="K91" i="1"/>
  <c r="K93" i="1"/>
  <c r="K94" i="1"/>
  <c r="K95" i="1"/>
  <c r="K96" i="1"/>
  <c r="K97" i="1"/>
  <c r="K98" i="1"/>
  <c r="K62" i="1"/>
  <c r="K25" i="1"/>
  <c r="K26" i="1"/>
  <c r="K27" i="1"/>
  <c r="K28" i="1"/>
  <c r="K29" i="1"/>
  <c r="K30" i="1"/>
  <c r="K33" i="1"/>
  <c r="K34" i="1"/>
  <c r="K36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4" i="1"/>
  <c r="K55" i="1"/>
  <c r="K56" i="1"/>
  <c r="K57" i="1"/>
  <c r="K58" i="1"/>
  <c r="K59" i="1"/>
  <c r="K60" i="1"/>
  <c r="K24" i="1"/>
  <c r="K11" i="1"/>
  <c r="K13" i="1"/>
  <c r="K14" i="1"/>
  <c r="K17" i="1"/>
  <c r="K18" i="1"/>
  <c r="K19" i="1"/>
  <c r="K20" i="1"/>
  <c r="J111" i="1"/>
  <c r="J112" i="1"/>
  <c r="J113" i="1"/>
  <c r="J114" i="1"/>
  <c r="J101" i="1"/>
  <c r="J102" i="1"/>
  <c r="J103" i="1"/>
  <c r="J104" i="1"/>
  <c r="J105" i="1"/>
  <c r="J107" i="1"/>
  <c r="J108" i="1"/>
  <c r="J100" i="1"/>
  <c r="J63" i="1"/>
  <c r="J64" i="1"/>
  <c r="J65" i="1"/>
  <c r="J66" i="1"/>
  <c r="J67" i="1"/>
  <c r="J68" i="1"/>
  <c r="J71" i="1"/>
  <c r="J72" i="1"/>
  <c r="J73" i="1"/>
  <c r="J74" i="1"/>
  <c r="J75" i="1"/>
  <c r="J76" i="1"/>
  <c r="J77" i="1"/>
  <c r="J78" i="1"/>
  <c r="J79" i="1"/>
  <c r="J80" i="1"/>
  <c r="J81" i="1"/>
  <c r="J83" i="1"/>
  <c r="J84" i="1"/>
  <c r="J85" i="1"/>
  <c r="J86" i="1"/>
  <c r="J87" i="1"/>
  <c r="J88" i="1"/>
  <c r="J89" i="1"/>
  <c r="J90" i="1"/>
  <c r="J91" i="1"/>
  <c r="J93" i="1"/>
  <c r="J94" i="1"/>
  <c r="J95" i="1"/>
  <c r="J96" i="1"/>
  <c r="J97" i="1"/>
  <c r="J98" i="1"/>
  <c r="J62" i="1"/>
  <c r="J11" i="1"/>
  <c r="J13" i="1"/>
  <c r="J14" i="1"/>
  <c r="J17" i="1"/>
  <c r="J18" i="1"/>
  <c r="J19" i="1"/>
  <c r="J20" i="1"/>
  <c r="J24" i="1"/>
  <c r="J25" i="1"/>
  <c r="J26" i="1"/>
  <c r="J27" i="1"/>
  <c r="J28" i="1"/>
  <c r="J29" i="1"/>
  <c r="J30" i="1"/>
  <c r="J33" i="1"/>
  <c r="J34" i="1"/>
  <c r="J36" i="1"/>
  <c r="J40" i="1"/>
  <c r="J41" i="1"/>
  <c r="J42" i="1"/>
  <c r="J43" i="1"/>
  <c r="J44" i="1"/>
  <c r="J45" i="1"/>
  <c r="J46" i="1"/>
  <c r="J48" i="1"/>
  <c r="J49" i="1"/>
  <c r="J50" i="1"/>
  <c r="J51" i="1"/>
  <c r="J52" i="1"/>
  <c r="J54" i="1"/>
  <c r="J55" i="1"/>
  <c r="J56" i="1"/>
  <c r="J57" i="1"/>
  <c r="J58" i="1"/>
  <c r="J59" i="1"/>
  <c r="J60" i="1"/>
  <c r="J9" i="1"/>
  <c r="I113" i="1"/>
  <c r="K110" i="1"/>
  <c r="K106" i="1"/>
  <c r="K90" i="1"/>
  <c r="O77" i="1"/>
  <c r="Q77" i="1"/>
  <c r="N70" i="1"/>
  <c r="J69" i="1"/>
  <c r="N53" i="1"/>
  <c r="N47" i="1"/>
  <c r="I39" i="1"/>
  <c r="J39" i="1" s="1"/>
  <c r="K38" i="1"/>
  <c r="J37" i="1"/>
  <c r="K35" i="1"/>
  <c r="N32" i="1"/>
  <c r="I31" i="1"/>
  <c r="N31" i="1" s="1"/>
  <c r="K23" i="1"/>
  <c r="J16" i="1"/>
  <c r="O15" i="1"/>
  <c r="I14" i="1"/>
  <c r="I13" i="1"/>
  <c r="I12" i="1"/>
  <c r="Q12" i="1" s="1"/>
  <c r="Q10" i="1"/>
  <c r="J110" i="1" l="1"/>
  <c r="J106" i="1"/>
  <c r="N106" i="1"/>
  <c r="J70" i="1"/>
  <c r="K70" i="1"/>
  <c r="K69" i="1"/>
  <c r="K53" i="1"/>
  <c r="J53" i="1"/>
  <c r="J47" i="1"/>
  <c r="K47" i="1"/>
  <c r="N39" i="1"/>
  <c r="N38" i="1"/>
  <c r="J38" i="1"/>
  <c r="N37" i="1"/>
  <c r="K37" i="1"/>
  <c r="N35" i="1"/>
  <c r="J35" i="1"/>
  <c r="J32" i="1"/>
  <c r="K32" i="1"/>
  <c r="J31" i="1"/>
  <c r="K31" i="1"/>
  <c r="J23" i="1"/>
  <c r="K16" i="1"/>
  <c r="N16" i="1"/>
  <c r="O16" i="1"/>
  <c r="Q16" i="1"/>
  <c r="Q15" i="1"/>
  <c r="K15" i="1"/>
  <c r="J15" i="1"/>
  <c r="N15" i="1"/>
  <c r="N12" i="1"/>
  <c r="J12" i="1"/>
  <c r="K12" i="1"/>
  <c r="O12" i="1"/>
  <c r="O10" i="1"/>
  <c r="N10" i="1"/>
  <c r="K10" i="1"/>
  <c r="J10" i="1"/>
  <c r="E61" i="1"/>
  <c r="E99" i="1"/>
  <c r="E109" i="1"/>
  <c r="L16" i="1"/>
  <c r="L17" i="1"/>
  <c r="L18" i="1"/>
  <c r="L19" i="1"/>
  <c r="L20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100" i="1"/>
  <c r="L101" i="1"/>
  <c r="L102" i="1"/>
  <c r="L103" i="1"/>
  <c r="L104" i="1"/>
  <c r="L105" i="1"/>
  <c r="L106" i="1"/>
  <c r="L107" i="1"/>
  <c r="L108" i="1"/>
  <c r="L110" i="1"/>
  <c r="L111" i="1"/>
  <c r="L112" i="1"/>
  <c r="L113" i="1"/>
  <c r="L114" i="1"/>
  <c r="L10" i="1"/>
  <c r="L11" i="1"/>
  <c r="L12" i="1"/>
  <c r="L13" i="1"/>
  <c r="L14" i="1"/>
  <c r="L15" i="1"/>
  <c r="M22" i="1"/>
  <c r="M99" i="1"/>
  <c r="M109" i="1"/>
  <c r="P77" i="1"/>
  <c r="J22" i="1" l="1"/>
  <c r="F8" i="1"/>
  <c r="O40" i="1"/>
  <c r="Q40" i="1"/>
  <c r="P40" i="1"/>
  <c r="N92" i="1" l="1"/>
  <c r="K92" i="1"/>
  <c r="J92" i="1"/>
  <c r="N9" i="1"/>
  <c r="I8" i="1"/>
  <c r="N114" i="1"/>
  <c r="Q113" i="1"/>
  <c r="P113" i="1"/>
  <c r="O113" i="1"/>
  <c r="N113" i="1"/>
  <c r="Q112" i="1"/>
  <c r="P112" i="1"/>
  <c r="O112" i="1"/>
  <c r="N112" i="1"/>
  <c r="N111" i="1"/>
  <c r="Q110" i="1"/>
  <c r="P110" i="1"/>
  <c r="O110" i="1"/>
  <c r="N110" i="1"/>
  <c r="I109" i="1"/>
  <c r="H109" i="1"/>
  <c r="F109" i="1"/>
  <c r="L109" i="1" s="1"/>
  <c r="C109" i="1"/>
  <c r="Q107" i="1"/>
  <c r="P107" i="1"/>
  <c r="O107" i="1"/>
  <c r="Q106" i="1"/>
  <c r="P106" i="1"/>
  <c r="O106" i="1"/>
  <c r="Q105" i="1"/>
  <c r="P105" i="1"/>
  <c r="O105" i="1"/>
  <c r="Q104" i="1"/>
  <c r="P104" i="1"/>
  <c r="O104" i="1"/>
  <c r="Q103" i="1"/>
  <c r="P103" i="1"/>
  <c r="O103" i="1"/>
  <c r="N100" i="1"/>
  <c r="I99" i="1"/>
  <c r="H99" i="1"/>
  <c r="F99" i="1"/>
  <c r="L99" i="1" s="1"/>
  <c r="D99" i="1"/>
  <c r="C99" i="1"/>
  <c r="Q92" i="1"/>
  <c r="P92" i="1"/>
  <c r="O92" i="1"/>
  <c r="Q91" i="1"/>
  <c r="P91" i="1"/>
  <c r="O91" i="1"/>
  <c r="Q90" i="1"/>
  <c r="P90" i="1"/>
  <c r="O90" i="1"/>
  <c r="Q89" i="1"/>
  <c r="P89" i="1"/>
  <c r="O89" i="1"/>
  <c r="Q88" i="1"/>
  <c r="P88" i="1"/>
  <c r="O88" i="1"/>
  <c r="Q87" i="1"/>
  <c r="P87" i="1"/>
  <c r="O87" i="1"/>
  <c r="Q86" i="1"/>
  <c r="P86" i="1"/>
  <c r="O86" i="1"/>
  <c r="Q84" i="1"/>
  <c r="P84" i="1"/>
  <c r="O84" i="1"/>
  <c r="Q83" i="1"/>
  <c r="P83" i="1"/>
  <c r="O83" i="1"/>
  <c r="Q80" i="1"/>
  <c r="P80" i="1"/>
  <c r="O80" i="1"/>
  <c r="Q79" i="1"/>
  <c r="P79" i="1"/>
  <c r="O79" i="1"/>
  <c r="Q78" i="1"/>
  <c r="P78" i="1"/>
  <c r="O78" i="1"/>
  <c r="Q76" i="1"/>
  <c r="P76" i="1"/>
  <c r="O76" i="1"/>
  <c r="Q75" i="1"/>
  <c r="P75" i="1"/>
  <c r="O75" i="1"/>
  <c r="Q74" i="1"/>
  <c r="P74" i="1"/>
  <c r="O74" i="1"/>
  <c r="Q73" i="1"/>
  <c r="P73" i="1"/>
  <c r="O73" i="1"/>
  <c r="Q72" i="1"/>
  <c r="P72" i="1"/>
  <c r="O72" i="1"/>
  <c r="Q71" i="1"/>
  <c r="P71" i="1"/>
  <c r="O71" i="1"/>
  <c r="Q70" i="1"/>
  <c r="P70" i="1"/>
  <c r="O70" i="1"/>
  <c r="Q69" i="1"/>
  <c r="P69" i="1"/>
  <c r="O69" i="1"/>
  <c r="Q68" i="1"/>
  <c r="P68" i="1"/>
  <c r="O68" i="1"/>
  <c r="Q67" i="1"/>
  <c r="P67" i="1"/>
  <c r="O67" i="1"/>
  <c r="Q66" i="1"/>
  <c r="P66" i="1"/>
  <c r="O66" i="1"/>
  <c r="Q63" i="1"/>
  <c r="P63" i="1"/>
  <c r="O63" i="1"/>
  <c r="Q62" i="1"/>
  <c r="P62" i="1"/>
  <c r="O62" i="1"/>
  <c r="N62" i="1"/>
  <c r="M61" i="1"/>
  <c r="I61" i="1"/>
  <c r="H61" i="1"/>
  <c r="F61" i="1"/>
  <c r="L61" i="1" s="1"/>
  <c r="C61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N23" i="1"/>
  <c r="I22" i="1"/>
  <c r="G22" i="1"/>
  <c r="G7" i="1" s="1"/>
  <c r="C22" i="1"/>
  <c r="P16" i="1"/>
  <c r="P15" i="1"/>
  <c r="P14" i="1"/>
  <c r="P13" i="1"/>
  <c r="P12" i="1"/>
  <c r="P11" i="1"/>
  <c r="P10" i="1"/>
  <c r="M8" i="1"/>
  <c r="D8" i="1"/>
  <c r="C8" i="1"/>
  <c r="J8" i="1" l="1"/>
  <c r="O8" i="1"/>
  <c r="M7" i="1"/>
  <c r="P99" i="1"/>
  <c r="C7" i="1"/>
  <c r="I7" i="1"/>
  <c r="J99" i="1"/>
  <c r="K99" i="1"/>
  <c r="N99" i="1"/>
  <c r="P61" i="1"/>
  <c r="J109" i="1"/>
  <c r="O61" i="1"/>
  <c r="D7" i="1"/>
  <c r="J61" i="1"/>
  <c r="Q99" i="1"/>
  <c r="P109" i="1"/>
  <c r="O22" i="1"/>
  <c r="Q109" i="1"/>
  <c r="F7" i="1"/>
  <c r="H8" i="1"/>
  <c r="H7" i="1" s="1"/>
  <c r="K61" i="1"/>
  <c r="N8" i="1"/>
  <c r="O99" i="1"/>
  <c r="N109" i="1"/>
  <c r="Q61" i="1"/>
  <c r="K109" i="1"/>
  <c r="O109" i="1"/>
  <c r="O7" i="1" l="1"/>
  <c r="J7" i="1"/>
  <c r="N7" i="1"/>
  <c r="Q22" i="1"/>
  <c r="K22" i="1"/>
  <c r="P22" i="1"/>
  <c r="L22" i="1"/>
  <c r="K9" i="1" l="1"/>
  <c r="P9" i="1"/>
  <c r="Q9" i="1"/>
  <c r="L9" i="1"/>
  <c r="E8" i="1"/>
  <c r="Q8" i="1" s="1"/>
  <c r="P8" i="1" l="1"/>
  <c r="K8" i="1"/>
  <c r="L8" i="1"/>
  <c r="L7" i="1" l="1"/>
  <c r="P7" i="1"/>
  <c r="Q7" i="1"/>
  <c r="K7" i="1"/>
</calcChain>
</file>

<file path=xl/sharedStrings.xml><?xml version="1.0" encoding="utf-8"?>
<sst xmlns="http://schemas.openxmlformats.org/spreadsheetml/2006/main" count="198" uniqueCount="197">
  <si>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</si>
  <si>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</si>
  <si>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</si>
  <si>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</si>
  <si>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</si>
  <si>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</si>
  <si>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</si>
  <si>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</si>
  <si>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</si>
  <si>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</si>
  <si>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</si>
  <si>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</si>
  <si>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</si>
  <si>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</si>
  <si>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</si>
  <si>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</si>
  <si>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</si>
  <si>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</si>
  <si>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</si>
  <si>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</si>
  <si>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</si>
  <si>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</si>
  <si>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</si>
  <si>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</si>
  <si>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</si>
  <si>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</si>
  <si>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</si>
  <si>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</si>
  <si>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</si>
  <si>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</si>
  <si>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</si>
  <si>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</si>
  <si>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</si>
  <si>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</si>
  <si>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</si>
  <si>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</si>
  <si>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</si>
  <si>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</si>
  <si>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</si>
  <si>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094</t>
  </si>
  <si>
    <t>GASTOS DE REPRESENTACIÓN CRÉDITOS RECONOCIDOS</t>
  </si>
  <si>
    <t>096</t>
  </si>
  <si>
    <t>XIII MES DE  CRÉDITOS RECONOCIDOS</t>
  </si>
  <si>
    <t>098</t>
  </si>
  <si>
    <t>OTROS SERVICIOS PERSONALES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</si>
  <si>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</si>
  <si>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</si>
  <si>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</si>
  <si>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</si>
  <si>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</si>
  <si>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</si>
  <si>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</si>
  <si>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</si>
  <si>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</si>
  <si>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</si>
  <si>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</si>
  <si>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</si>
  <si>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</si>
  <si>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</si>
  <si>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</si>
  <si>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</si>
  <si>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</si>
  <si>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</si>
  <si>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</si>
  <si>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</si>
  <si>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</si>
  <si>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</si>
  <si>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</si>
  <si>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</si>
  <si>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</si>
  <si>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</si>
  <si>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</si>
  <si>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</si>
  <si>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</si>
  <si>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</si>
  <si>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</si>
  <si>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</si>
  <si>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</si>
  <si>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</si>
  <si>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</si>
  <si>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</si>
  <si>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</si>
  <si>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</si>
  <si>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</si>
  <si>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</si>
  <si>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TRANSPORTE DE BIENES</t>
  </si>
  <si>
    <t>164</t>
  </si>
  <si>
    <t>GASTOS DE SEGUROS</t>
  </si>
  <si>
    <t>SERVICIOS COMERCIALES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</si>
  <si>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</si>
  <si>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</si>
  <si>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</si>
  <si>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</si>
  <si>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</si>
  <si>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</si>
  <si>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</si>
  <si>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</si>
  <si>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</si>
  <si>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</si>
  <si>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</si>
  <si>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</si>
  <si>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</si>
  <si>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</si>
  <si>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ALQUILERES CRÉDITOS RECONOCIDOS</t>
  </si>
  <si>
    <t>SERVICIOS BÁSICOS CRÉDITOS RECONOCIDOS</t>
  </si>
  <si>
    <t>IMPRESION, ENCUADERNACION Y OTROS CRÉDITOS RECO</t>
  </si>
  <si>
    <t>INFORMACION Y PUBLICIDAD CRÉDITOS RECONOCIDO</t>
  </si>
  <si>
    <t>TRANSPORTE DE PERSONAS CRÉDITO RECONOCIDO</t>
  </si>
  <si>
    <t>SERVICIOS COMERCIALES Y FINANCIEROS CREDITOS R</t>
  </si>
  <si>
    <t>MANTENIMIENTO Y REPARACION CRÉDITOS RECONOCIDO</t>
  </si>
  <si>
    <t>MATERIALES Y SUMINISTROS</t>
  </si>
  <si>
    <t>201</t>
  </si>
  <si>
    <t>ALIMENTOS PARA CONSUMO HUMANO</t>
  </si>
  <si>
    <t>203</t>
  </si>
  <si>
    <t>BEBIDAS</t>
  </si>
  <si>
    <t>ACABO TEXTIL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</si>
  <si>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</si>
  <si>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</si>
  <si>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</si>
  <si>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</si>
  <si>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</si>
  <si>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</si>
  <si>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</si>
  <si>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</si>
  <si>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</si>
  <si>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</si>
  <si>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</si>
  <si>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</si>
  <si>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</si>
  <si>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</si>
  <si>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</si>
  <si>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</si>
  <si>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</si>
  <si>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</si>
  <si>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</si>
  <si>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</si>
  <si>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</si>
  <si>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</si>
  <si>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</si>
  <si>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</si>
  <si>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</si>
  <si>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</si>
  <si>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</si>
  <si>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</si>
  <si>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</si>
  <si>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</si>
  <si>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</si>
  <si>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</si>
  <si>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</si>
  <si>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</si>
  <si>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</si>
  <si>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</si>
  <si>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</si>
  <si>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</si>
  <si>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</si>
  <si>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</si>
  <si>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</si>
  <si>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</si>
  <si>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</si>
  <si>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</si>
  <si>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</si>
  <si>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</si>
  <si>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</si>
  <si>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</si>
  <si>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</si>
  <si>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COMBUSTIBLES Y LUBRICANTES CRÉDITOS RECONOCIDOS</t>
  </si>
  <si>
    <t>PRODUCTOS DE PAPEL Y CARTON CREDITOS RECONOCIDOS</t>
  </si>
  <si>
    <t>PRODUCTOS QUIMICOS Y CONEXIÓN CREDITOS RECONOCIDOS</t>
  </si>
  <si>
    <t>MATERIALES PARA CONSTRUCCION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</si>
  <si>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</si>
  <si>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</si>
  <si>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</si>
  <si>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</si>
  <si>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</si>
  <si>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</si>
  <si>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</si>
  <si>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</si>
  <si>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</si>
  <si>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</si>
  <si>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</si>
  <si>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</si>
  <si>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MAQUINARIA Y EQUIPO DE TRANS. CREDITOS RECONOCIDOS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</si>
  <si>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</si>
  <si>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</si>
  <si>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</si>
  <si>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</si>
  <si>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</si>
  <si>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</si>
  <si>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</si>
  <si>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</si>
  <si>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BECAS DE ESTUDIO CREDITOS RECONOCIDOS</t>
  </si>
  <si>
    <t>Fuente: Departamento de Presupuesto ANTAI</t>
  </si>
  <si>
    <t xml:space="preserve">VIATICO A OTRAS PRSONAS </t>
  </si>
  <si>
    <t>CEMENTO</t>
  </si>
  <si>
    <t>Preparado por : Vianed Ballesteros / Depto. de Presupuesto</t>
  </si>
  <si>
    <t>PIEDRA Y ARENA</t>
  </si>
  <si>
    <t>AL 30 DE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</si>
</sst>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wrapText="1"/>
    </xf>
    <xf numFmtId="9" fontId="6" fillId="0" borderId="10" xfId="0" applyNumberFormat="1" applyFont="1" applyFill="1" applyBorder="1" applyAlignment="1" applyProtection="1">
      <protection locked="0"/>
    </xf>
    <xf numFmtId="0" fontId="5" fillId="0" borderId="4" xfId="0" applyFont="1" applyFill="1" applyBorder="1" applyAlignment="1">
      <alignment horizontal="left" wrapText="1"/>
    </xf>
    <xf numFmtId="3" fontId="5" fillId="0" borderId="11" xfId="0" applyNumberFormat="1" applyFont="1" applyFill="1" applyBorder="1" applyAlignment="1"/>
    <xf numFmtId="3" fontId="5" fillId="0" borderId="4" xfId="0" applyNumberFormat="1" applyFont="1" applyFill="1" applyBorder="1" applyAlignment="1"/>
    <xf numFmtId="0" fontId="4" fillId="0" borderId="4" xfId="0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protection locked="0"/>
    </xf>
    <xf numFmtId="3" fontId="4" fillId="0" borderId="11" xfId="0" applyNumberFormat="1" applyFont="1" applyFill="1" applyBorder="1" applyAlignment="1" applyProtection="1">
      <alignment horizontal="right"/>
      <protection locked="0"/>
    </xf>
    <xf numFmtId="3" fontId="7" fillId="0" borderId="11" xfId="0" applyNumberFormat="1" applyFont="1" applyFill="1" applyBorder="1" applyAlignment="1">
      <alignment wrapText="1"/>
    </xf>
    <xf numFmtId="3" fontId="9" fillId="0" borderId="11" xfId="0" applyNumberFormat="1" applyFont="1" applyFill="1" applyBorder="1" applyAlignment="1" applyProtection="1">
      <protection locked="0"/>
    </xf>
    <xf numFmtId="3" fontId="9" fillId="0" borderId="11" xfId="0" applyNumberFormat="1" applyFont="1" applyFill="1" applyBorder="1"/>
    <xf numFmtId="3" fontId="4" fillId="0" borderId="4" xfId="0" applyNumberFormat="1" applyFont="1" applyFill="1" applyBorder="1" applyAlignment="1" applyProtection="1">
      <protection locked="0"/>
    </xf>
    <xf numFmtId="9" fontId="7" fillId="0" borderId="11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wrapText="1"/>
    </xf>
    <xf numFmtId="9" fontId="5" fillId="0" borderId="11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vertical="center" wrapText="1"/>
    </xf>
    <xf numFmtId="1" fontId="7" fillId="0" borderId="11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 applyProtection="1">
      <protection locked="0"/>
    </xf>
    <xf numFmtId="3" fontId="7" fillId="0" borderId="11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9" fontId="6" fillId="0" borderId="11" xfId="0" applyNumberFormat="1" applyFont="1" applyFill="1" applyBorder="1" applyAlignment="1" applyProtection="1">
      <protection locked="0"/>
    </xf>
    <xf numFmtId="0" fontId="10" fillId="0" borderId="0" xfId="0" applyFont="1"/>
    <xf numFmtId="0" fontId="4" fillId="0" borderId="4" xfId="0" applyFont="1" applyFill="1" applyBorder="1" applyProtection="1">
      <protection locked="0"/>
    </xf>
    <xf numFmtId="3" fontId="8" fillId="0" borderId="11" xfId="0" applyNumberFormat="1" applyFont="1" applyFill="1" applyBorder="1"/>
    <xf numFmtId="0" fontId="9" fillId="0" borderId="4" xfId="0" applyFont="1" applyFill="1" applyBorder="1"/>
    <xf numFmtId="3" fontId="10" fillId="0" borderId="11" xfId="0" applyNumberFormat="1" applyFont="1" applyFill="1" applyBorder="1"/>
    <xf numFmtId="9" fontId="4" fillId="0" borderId="11" xfId="0" applyNumberFormat="1" applyFont="1" applyFill="1" applyBorder="1" applyAlignment="1" applyProtection="1">
      <protection locked="0"/>
    </xf>
    <xf numFmtId="0" fontId="9" fillId="0" borderId="14" xfId="0" applyFont="1" applyFill="1" applyBorder="1"/>
    <xf numFmtId="3" fontId="9" fillId="0" borderId="13" xfId="0" applyNumberFormat="1" applyFont="1" applyFill="1" applyBorder="1"/>
    <xf numFmtId="3" fontId="10" fillId="0" borderId="13" xfId="0" applyNumberFormat="1" applyFont="1" applyFill="1" applyBorder="1"/>
    <xf numFmtId="3" fontId="4" fillId="0" borderId="13" xfId="0" applyNumberFormat="1" applyFont="1" applyFill="1" applyBorder="1" applyAlignment="1" applyProtection="1">
      <protection locked="0"/>
    </xf>
    <xf numFmtId="3" fontId="7" fillId="0" borderId="13" xfId="0" applyNumberFormat="1" applyFont="1" applyFill="1" applyBorder="1" applyAlignment="1">
      <alignment wrapText="1"/>
    </xf>
    <xf numFmtId="9" fontId="4" fillId="0" borderId="13" xfId="0" applyNumberFormat="1" applyFont="1" applyFill="1" applyBorder="1" applyAlignment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Fill="1"/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4" fillId="0" borderId="0" xfId="0" quotePrefix="1" applyFont="1" applyFill="1" applyBorder="1" applyAlignment="1" applyProtection="1">
      <alignment horizontal="left"/>
      <protection locked="0"/>
    </xf>
    <xf numFmtId="3" fontId="7" fillId="0" borderId="4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protection locked="0"/>
    </xf>
    <xf numFmtId="3" fontId="6" fillId="0" borderId="14" xfId="0" applyNumberFormat="1" applyFont="1" applyFill="1" applyBorder="1" applyAlignment="1" applyProtection="1">
      <protection locked="0"/>
    </xf>
    <xf numFmtId="10" fontId="7" fillId="0" borderId="5" xfId="0" applyNumberFormat="1" applyFont="1" applyFill="1" applyBorder="1" applyAlignment="1">
      <alignment horizontal="right" vertical="center" wrapText="1"/>
    </xf>
    <xf numFmtId="9" fontId="8" fillId="0" borderId="5" xfId="0" applyNumberFormat="1" applyFont="1" applyFill="1" applyBorder="1" applyAlignment="1" applyProtection="1">
      <alignment vertical="center"/>
      <protection locked="0"/>
    </xf>
    <xf numFmtId="9" fontId="9" fillId="0" borderId="5" xfId="0" applyNumberFormat="1" applyFont="1" applyFill="1" applyBorder="1"/>
    <xf numFmtId="9" fontId="8" fillId="0" borderId="5" xfId="0" applyNumberFormat="1" applyFont="1" applyFill="1" applyBorder="1"/>
    <xf numFmtId="9" fontId="9" fillId="0" borderId="5" xfId="0" applyNumberFormat="1" applyFont="1" applyFill="1" applyBorder="1" applyAlignment="1" applyProtection="1">
      <alignment vertical="center"/>
      <protection locked="0"/>
    </xf>
    <xf numFmtId="9" fontId="9" fillId="0" borderId="15" xfId="0" applyNumberFormat="1" applyFont="1" applyFill="1" applyBorder="1" applyAlignment="1" applyProtection="1">
      <alignment vertical="center"/>
      <protection locked="0"/>
    </xf>
    <xf numFmtId="10" fontId="7" fillId="0" borderId="3" xfId="0" applyNumberFormat="1" applyFont="1" applyFill="1" applyBorder="1" applyAlignment="1">
      <alignment horizontal="right" vertical="center" wrapText="1"/>
    </xf>
    <xf numFmtId="10" fontId="5" fillId="0" borderId="5" xfId="0" applyNumberFormat="1" applyFont="1" applyFill="1" applyBorder="1" applyAlignment="1">
      <alignment horizontal="right" vertical="center" wrapText="1"/>
    </xf>
    <xf numFmtId="10" fontId="5" fillId="0" borderId="15" xfId="0" applyNumberFormat="1" applyFont="1" applyFill="1" applyBorder="1" applyAlignment="1">
      <alignment horizontal="right" vertical="center" wrapText="1"/>
    </xf>
    <xf numFmtId="9" fontId="8" fillId="0" borderId="3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/>
    <xf numFmtId="0" fontId="5" fillId="0" borderId="4" xfId="0" applyFont="1" applyFill="1" applyBorder="1" applyAlignment="1"/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4" xfId="0" quotePrefix="1" applyFont="1" applyFill="1" applyBorder="1" applyAlignment="1" applyProtection="1">
      <alignment horizontal="left"/>
      <protection locked="0"/>
    </xf>
    <xf numFmtId="49" fontId="4" fillId="0" borderId="4" xfId="0" applyNumberFormat="1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>
      <alignment horizontal="left" vertical="center" wrapText="1"/>
    </xf>
    <xf numFmtId="0" fontId="4" fillId="0" borderId="12" xfId="0" quotePrefix="1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3" fontId="9" fillId="0" borderId="4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 applyProtection="1">
      <protection locked="0"/>
    </xf>
    <xf numFmtId="3" fontId="7" fillId="0" borderId="4" xfId="0" applyNumberFormat="1" applyFont="1" applyFill="1" applyBorder="1" applyAlignment="1">
      <alignment vertical="center" wrapText="1"/>
    </xf>
    <xf numFmtId="3" fontId="4" fillId="0" borderId="16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9" fillId="0" borderId="13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-1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-1</xdr:colOff>
      <xdr:row>43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-1</xdr:colOff>
      <xdr:row>41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628650</xdr:colOff>
      <xdr:row>0</xdr:row>
      <xdr:rowOff>28575</xdr:rowOff>
    </xdr:from>
    <xdr:to>
      <xdr:col>17</xdr:col>
      <xdr:colOff>0</xdr:colOff>
      <xdr:row>4</xdr:row>
      <xdr:rowOff>180975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96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-1</xdr:colOff>
      <xdr:row>56</xdr:row>
      <xdr:rowOff>28575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-1</xdr:colOff>
      <xdr:row>42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-1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-1</xdr:colOff>
      <xdr:row>46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-1</xdr:colOff>
      <xdr:row>43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-1</xdr:colOff>
      <xdr:row>59</xdr:row>
      <xdr:rowOff>28575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-1</xdr:colOff>
      <xdr:row>45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-1</xdr:colOff>
      <xdr:row>42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-1</xdr:colOff>
      <xdr:row>44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-1</xdr:colOff>
      <xdr:row>44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-1</xdr:colOff>
      <xdr:row>0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-1</xdr:colOff>
      <xdr:row>43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-1</xdr:colOff>
      <xdr:row>41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-1</xdr:colOff>
      <xdr:row>56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-1</xdr:colOff>
      <xdr:row>42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-1</xdr:colOff>
      <xdr:row>0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-1</xdr:colOff>
      <xdr:row>46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-1</xdr:colOff>
      <xdr:row>43</xdr:row>
      <xdr:rowOff>28575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-1</xdr:colOff>
      <xdr:row>59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-1</xdr:colOff>
      <xdr:row>45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-1</xdr:colOff>
      <xdr:row>42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-1</xdr:colOff>
      <xdr:row>44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-1</xdr:colOff>
      <xdr:row>44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-1</xdr:colOff>
      <xdr:row>0</xdr:row>
      <xdr:rowOff>28575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-1</xdr:colOff>
      <xdr:row>43</xdr:row>
      <xdr:rowOff>28575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-1</xdr:colOff>
      <xdr:row>41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-1</xdr:colOff>
      <xdr:row>56</xdr:row>
      <xdr:rowOff>28575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-1</xdr:colOff>
      <xdr:row>42</xdr:row>
      <xdr:rowOff>28575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-1</xdr:colOff>
      <xdr:row>0</xdr:row>
      <xdr:rowOff>28575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-1</xdr:colOff>
      <xdr:row>46</xdr:row>
      <xdr:rowOff>28575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-1</xdr:colOff>
      <xdr:row>43</xdr:row>
      <xdr:rowOff>28575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-1</xdr:colOff>
      <xdr:row>59</xdr:row>
      <xdr:rowOff>28575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-1</xdr:colOff>
      <xdr:row>45</xdr:row>
      <xdr:rowOff>28575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-1</xdr:colOff>
      <xdr:row>42</xdr:row>
      <xdr:rowOff>28575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-1</xdr:colOff>
      <xdr:row>44</xdr:row>
      <xdr:rowOff>28575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-1</xdr:colOff>
      <xdr:row>44</xdr:row>
      <xdr:rowOff>28575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-1</xdr:colOff>
      <xdr:row>0</xdr:row>
      <xdr:rowOff>28575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-1</xdr:colOff>
      <xdr:row>43</xdr:row>
      <xdr:rowOff>28575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-1</xdr:colOff>
      <xdr:row>41</xdr:row>
      <xdr:rowOff>28575</xdr:rowOff>
    </xdr:to>
    <xdr:pic>
      <xdr:nvPicPr>
        <xdr:cNvPr id="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1972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-1</xdr:colOff>
      <xdr:row>56</xdr:row>
      <xdr:rowOff>28575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1163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-1</xdr:colOff>
      <xdr:row>42</xdr:row>
      <xdr:rowOff>28575</xdr:rowOff>
    </xdr:to>
    <xdr:pic>
      <xdr:nvPicPr>
        <xdr:cNvPr id="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-1</xdr:colOff>
      <xdr:row>0</xdr:row>
      <xdr:rowOff>28575</xdr:rowOff>
    </xdr:to>
    <xdr:pic>
      <xdr:nvPicPr>
        <xdr:cNvPr id="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-1</xdr:colOff>
      <xdr:row>46</xdr:row>
      <xdr:rowOff>28575</xdr:rowOff>
    </xdr:to>
    <xdr:pic>
      <xdr:nvPicPr>
        <xdr:cNvPr id="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-1</xdr:colOff>
      <xdr:row>43</xdr:row>
      <xdr:rowOff>28575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59</xdr:row>
      <xdr:rowOff>0</xdr:rowOff>
    </xdr:from>
    <xdr:to>
      <xdr:col>14</xdr:col>
      <xdr:colOff>-1</xdr:colOff>
      <xdr:row>59</xdr:row>
      <xdr:rowOff>28575</xdr:rowOff>
    </xdr:to>
    <xdr:pic>
      <xdr:nvPicPr>
        <xdr:cNvPr id="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944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-1</xdr:colOff>
      <xdr:row>45</xdr:row>
      <xdr:rowOff>28575</xdr:rowOff>
    </xdr:to>
    <xdr:pic>
      <xdr:nvPicPr>
        <xdr:cNvPr id="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-1</xdr:colOff>
      <xdr:row>42</xdr:row>
      <xdr:rowOff>28575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-1</xdr:colOff>
      <xdr:row>44</xdr:row>
      <xdr:rowOff>28575</xdr:rowOff>
    </xdr:to>
    <xdr:pic>
      <xdr:nvPicPr>
        <xdr:cNvPr id="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-1</xdr:colOff>
      <xdr:row>44</xdr:row>
      <xdr:rowOff>28575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-1</xdr:colOff>
      <xdr:row>0</xdr:row>
      <xdr:rowOff>28575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-1</xdr:colOff>
      <xdr:row>44</xdr:row>
      <xdr:rowOff>28575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-1</xdr:colOff>
      <xdr:row>42</xdr:row>
      <xdr:rowOff>28575</xdr:rowOff>
    </xdr:to>
    <xdr:pic>
      <xdr:nvPicPr>
        <xdr:cNvPr id="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249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14</xdr:col>
      <xdr:colOff>-1</xdr:colOff>
      <xdr:row>57</xdr:row>
      <xdr:rowOff>28575</xdr:rowOff>
    </xdr:to>
    <xdr:pic>
      <xdr:nvPicPr>
        <xdr:cNvPr id="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6392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-1</xdr:colOff>
      <xdr:row>43</xdr:row>
      <xdr:rowOff>28575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-1</xdr:colOff>
      <xdr:row>0</xdr:row>
      <xdr:rowOff>28575</xdr:rowOff>
    </xdr:to>
    <xdr:pic>
      <xdr:nvPicPr>
        <xdr:cNvPr id="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47</xdr:row>
      <xdr:rowOff>0</xdr:rowOff>
    </xdr:from>
    <xdr:to>
      <xdr:col>14</xdr:col>
      <xdr:colOff>-1</xdr:colOff>
      <xdr:row>47</xdr:row>
      <xdr:rowOff>28575</xdr:rowOff>
    </xdr:to>
    <xdr:pic>
      <xdr:nvPicPr>
        <xdr:cNvPr id="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630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44</xdr:row>
      <xdr:rowOff>0</xdr:rowOff>
    </xdr:from>
    <xdr:to>
      <xdr:col>14</xdr:col>
      <xdr:colOff>-1</xdr:colOff>
      <xdr:row>44</xdr:row>
      <xdr:rowOff>28575</xdr:rowOff>
    </xdr:to>
    <xdr:pic>
      <xdr:nvPicPr>
        <xdr:cNvPr id="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8016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60</xdr:row>
      <xdr:rowOff>0</xdr:rowOff>
    </xdr:from>
    <xdr:to>
      <xdr:col>14</xdr:col>
      <xdr:colOff>-1</xdr:colOff>
      <xdr:row>60</xdr:row>
      <xdr:rowOff>28575</xdr:rowOff>
    </xdr:to>
    <xdr:pic>
      <xdr:nvPicPr>
        <xdr:cNvPr id="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72212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46</xdr:row>
      <xdr:rowOff>0</xdr:rowOff>
    </xdr:from>
    <xdr:to>
      <xdr:col>14</xdr:col>
      <xdr:colOff>-1</xdr:colOff>
      <xdr:row>46</xdr:row>
      <xdr:rowOff>28575</xdr:rowOff>
    </xdr:to>
    <xdr:pic>
      <xdr:nvPicPr>
        <xdr:cNvPr id="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3540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-1</xdr:colOff>
      <xdr:row>43</xdr:row>
      <xdr:rowOff>28575</xdr:rowOff>
    </xdr:to>
    <xdr:pic>
      <xdr:nvPicPr>
        <xdr:cNvPr id="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5253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-1</xdr:colOff>
      <xdr:row>45</xdr:row>
      <xdr:rowOff>28575</xdr:rowOff>
    </xdr:to>
    <xdr:pic>
      <xdr:nvPicPr>
        <xdr:cNvPr id="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-1</xdr:colOff>
      <xdr:row>45</xdr:row>
      <xdr:rowOff>28575</xdr:rowOff>
    </xdr:to>
    <xdr:pic>
      <xdr:nvPicPr>
        <xdr:cNvPr id="7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3077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6"/>
  <sheetViews>
    <sheetView tabSelected="1" zoomScale="80" zoomScaleNormal="80" workbookViewId="0">
      <pane ySplit="5" topLeftCell="A6" activePane="bottomLeft" state="frozen"/>
      <selection activeCell="B1" sqref="B1"/>
      <selection pane="bottomLeft" activeCell="I39" sqref="I39"/>
    </sheetView>
  </sheetViews>
  <sheetFormatPr baseColWidth="10" defaultRowHeight="15.75" x14ac:dyDescent="0.25"/>
  <cols>
    <col min="1" max="1" width="8.5703125" customWidth="1"/>
    <col min="2" max="2" width="48.5703125" style="31" customWidth="1"/>
    <col min="3" max="3" width="15.7109375" customWidth="1"/>
    <col min="4" max="4" width="13.5703125" customWidth="1"/>
    <col min="5" max="5" width="16.85546875" customWidth="1"/>
    <col min="6" max="8" width="13.5703125" customWidth="1"/>
    <col min="9" max="9" width="14.7109375" style="48" customWidth="1"/>
    <col min="10" max="10" width="16.42578125" customWidth="1"/>
    <col min="11" max="11" width="17.42578125" style="48" customWidth="1"/>
    <col min="12" max="12" width="15.7109375" customWidth="1"/>
    <col min="13" max="13" width="14.5703125" style="48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71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71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71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71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71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71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71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71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71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71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71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71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71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71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71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71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71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71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71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71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71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71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71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71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71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71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71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71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71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71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71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71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71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71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71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71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71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71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71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71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71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71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71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71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71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71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71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71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71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71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71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71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71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71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71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71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71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71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71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71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71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71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71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</row>
    <row r="2" spans="1:17" ht="18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</row>
    <row r="3" spans="1:17" ht="18" x14ac:dyDescent="0.25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/>
    </row>
    <row r="4" spans="1:17" ht="18" x14ac:dyDescent="0.25">
      <c r="A4" s="85" t="s">
        <v>196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</row>
    <row r="5" spans="1:17" ht="18.75" thickBot="1" x14ac:dyDescent="0.3">
      <c r="A5" s="88" t="s">
        <v>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90"/>
    </row>
    <row r="6" spans="1:17" ht="90.75" customHeight="1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1.75" customHeight="1" x14ac:dyDescent="0.25">
      <c r="A7" s="64"/>
      <c r="B7" s="7" t="s">
        <v>21</v>
      </c>
      <c r="C7" s="8">
        <f>SUM(C8+C22+C61+C99+C109)</f>
        <v>2484400</v>
      </c>
      <c r="D7" s="63">
        <f>D22+D61+D99+D109+D8</f>
        <v>0</v>
      </c>
      <c r="E7" s="8">
        <f>SUM(E8+E22+E61+E99+E109)</f>
        <v>2484400</v>
      </c>
      <c r="F7" s="8">
        <f>SUM(F8+F22+F61+F99+F109)</f>
        <v>2340640</v>
      </c>
      <c r="G7" s="63">
        <f>+G22</f>
        <v>46617.65</v>
      </c>
      <c r="H7" s="8">
        <f>+H8+H22+H61+H99+H109</f>
        <v>170253.93000000002</v>
      </c>
      <c r="I7" s="8">
        <f>+I8+I22+I61+I99+I109</f>
        <v>1730465.16</v>
      </c>
      <c r="J7" s="8">
        <f>SUM(F7-I7)</f>
        <v>610174.84000000008</v>
      </c>
      <c r="K7" s="8">
        <f t="shared" ref="K7" si="0">SUM(E7-I7)</f>
        <v>753934.84000000008</v>
      </c>
      <c r="L7" s="8">
        <f>SUM(E7-F7)</f>
        <v>143760</v>
      </c>
      <c r="M7" s="8">
        <f>+M8+M22+M61+M99+M109</f>
        <v>793458.99999999977</v>
      </c>
      <c r="N7" s="63">
        <f t="shared" ref="N7:N8" si="1">SUM(I7-M7)</f>
        <v>937006.16000000015</v>
      </c>
      <c r="O7" s="10">
        <f>SUM(I7/F7*100%)</f>
        <v>0.73931282042518287</v>
      </c>
      <c r="P7" s="59">
        <f t="shared" ref="P7:P16" si="2">SUM(H7/E7)</f>
        <v>6.8529194171630989E-2</v>
      </c>
      <c r="Q7" s="62">
        <f t="shared" ref="Q7:Q20" si="3">SUM(I7/E7*100%)</f>
        <v>0.69653242634036383</v>
      </c>
    </row>
    <row r="8" spans="1:17" ht="21.75" customHeight="1" x14ac:dyDescent="0.25">
      <c r="A8" s="65"/>
      <c r="B8" s="11" t="s">
        <v>22</v>
      </c>
      <c r="C8" s="12">
        <f>SUM(C9:C20)</f>
        <v>1685950</v>
      </c>
      <c r="D8" s="13">
        <f>SUM(D9:D20)</f>
        <v>0</v>
      </c>
      <c r="E8" s="13">
        <f>SUM(E9:E21)</f>
        <v>1685950</v>
      </c>
      <c r="F8" s="12">
        <f>SUM(F9:F20)</f>
        <v>1542190</v>
      </c>
      <c r="G8" s="13">
        <v>0</v>
      </c>
      <c r="H8" s="12">
        <f>SUM(H9:H20)</f>
        <v>52368.47</v>
      </c>
      <c r="I8" s="13">
        <f>SUM(I9:I20)</f>
        <v>1187024.47</v>
      </c>
      <c r="J8" s="9">
        <f>F8-I8</f>
        <v>355165.53</v>
      </c>
      <c r="K8" s="9">
        <f>SUM(E8-G8-I8)</f>
        <v>498925.53</v>
      </c>
      <c r="L8" s="9">
        <f t="shared" ref="L8" si="4">SUM(E8-F8)</f>
        <v>143760</v>
      </c>
      <c r="M8" s="12">
        <f>SUM(M9:M20)</f>
        <v>557208.98999999987</v>
      </c>
      <c r="N8" s="22">
        <f t="shared" si="1"/>
        <v>629815.4800000001</v>
      </c>
      <c r="O8" s="30">
        <f t="shared" ref="O8:O20" si="5">SUM(I8/F8*100%)</f>
        <v>0.76970053625039714</v>
      </c>
      <c r="P8" s="53">
        <f t="shared" si="2"/>
        <v>3.1061698152376999E-2</v>
      </c>
      <c r="Q8" s="54">
        <f t="shared" si="3"/>
        <v>0.70406860820309025</v>
      </c>
    </row>
    <row r="9" spans="1:17" ht="21.75" customHeight="1" x14ac:dyDescent="0.25">
      <c r="A9" s="66" t="s">
        <v>23</v>
      </c>
      <c r="B9" s="14" t="s">
        <v>24</v>
      </c>
      <c r="C9" s="15">
        <v>1301800</v>
      </c>
      <c r="D9" s="20">
        <v>-150000</v>
      </c>
      <c r="E9" s="15">
        <f>SUM(C9:D9)</f>
        <v>1151800</v>
      </c>
      <c r="F9" s="16">
        <v>1043317</v>
      </c>
      <c r="G9" s="20">
        <v>0</v>
      </c>
      <c r="H9" s="15">
        <v>0</v>
      </c>
      <c r="I9" s="20">
        <f>SUM(H9+830809)</f>
        <v>830809</v>
      </c>
      <c r="J9" s="17">
        <f>SUM(F9-I9)</f>
        <v>212508</v>
      </c>
      <c r="K9" s="17">
        <f>SUM(E9-G9-I9)</f>
        <v>320991</v>
      </c>
      <c r="L9" s="17">
        <f>SUM(E9-F9)</f>
        <v>108483</v>
      </c>
      <c r="M9" s="15">
        <v>439845.69</v>
      </c>
      <c r="N9" s="50">
        <f>SUM(I9-M9)</f>
        <v>390963.31</v>
      </c>
      <c r="O9" s="30">
        <f t="shared" si="5"/>
        <v>0.79631502218405337</v>
      </c>
      <c r="P9" s="53">
        <f t="shared" si="2"/>
        <v>0</v>
      </c>
      <c r="Q9" s="54">
        <f t="shared" si="3"/>
        <v>0.72131359611043588</v>
      </c>
    </row>
    <row r="10" spans="1:17" ht="21.75" customHeight="1" x14ac:dyDescent="0.25">
      <c r="A10" s="66" t="s">
        <v>25</v>
      </c>
      <c r="B10" s="14" t="s">
        <v>26</v>
      </c>
      <c r="C10" s="15">
        <v>54000</v>
      </c>
      <c r="D10" s="20">
        <v>5735</v>
      </c>
      <c r="E10" s="15">
        <f t="shared" ref="E10:E20" si="6">SUM(C10:D10)</f>
        <v>59735</v>
      </c>
      <c r="F10" s="15">
        <v>55235</v>
      </c>
      <c r="G10" s="20">
        <v>0</v>
      </c>
      <c r="H10" s="15">
        <v>5733.33</v>
      </c>
      <c r="I10" s="75">
        <f>SUM(41955+H10)</f>
        <v>47688.33</v>
      </c>
      <c r="J10" s="17">
        <f>SUM(F10-I10)</f>
        <v>7546.6699999999983</v>
      </c>
      <c r="K10" s="17">
        <f t="shared" ref="K10:K20" si="7">SUM(E10-G10-I10)</f>
        <v>12046.669999999998</v>
      </c>
      <c r="L10" s="17">
        <f t="shared" ref="L10:L73" si="8">SUM(E10-F10)</f>
        <v>4500</v>
      </c>
      <c r="M10" s="18">
        <v>22417.919999999998</v>
      </c>
      <c r="N10" s="50">
        <f t="shared" ref="N10:N20" si="9">SUM(I10-M10)</f>
        <v>25270.410000000003</v>
      </c>
      <c r="O10" s="30">
        <f t="shared" si="5"/>
        <v>0.86337159409794517</v>
      </c>
      <c r="P10" s="53">
        <f t="shared" si="2"/>
        <v>9.5979409056666951E-2</v>
      </c>
      <c r="Q10" s="54">
        <f t="shared" si="3"/>
        <v>0.7983314639658492</v>
      </c>
    </row>
    <row r="11" spans="1:17" ht="21.75" customHeight="1" x14ac:dyDescent="0.25">
      <c r="A11" s="67" t="s">
        <v>27</v>
      </c>
      <c r="B11" s="14" t="s">
        <v>28</v>
      </c>
      <c r="C11" s="15">
        <v>36850</v>
      </c>
      <c r="D11" s="20">
        <v>-234</v>
      </c>
      <c r="E11" s="15">
        <f t="shared" si="6"/>
        <v>36616</v>
      </c>
      <c r="F11" s="15">
        <v>24333</v>
      </c>
      <c r="G11" s="20">
        <v>0</v>
      </c>
      <c r="H11" s="19">
        <v>54.99</v>
      </c>
      <c r="I11" s="75">
        <f>SUM(20832+H11)</f>
        <v>20886.990000000002</v>
      </c>
      <c r="J11" s="17">
        <f t="shared" ref="J11:J20" si="10">SUM(F11-I11)</f>
        <v>3446.0099999999984</v>
      </c>
      <c r="K11" s="17">
        <f t="shared" si="7"/>
        <v>15729.009999999998</v>
      </c>
      <c r="L11" s="17">
        <f t="shared" si="8"/>
        <v>12283</v>
      </c>
      <c r="M11" s="18">
        <v>7776.24</v>
      </c>
      <c r="N11" s="50">
        <f t="shared" si="9"/>
        <v>13110.750000000002</v>
      </c>
      <c r="O11" s="30">
        <f t="shared" si="5"/>
        <v>0.85838121070151652</v>
      </c>
      <c r="P11" s="53">
        <f t="shared" si="2"/>
        <v>1.5018024907144417E-3</v>
      </c>
      <c r="Q11" s="54">
        <f t="shared" si="3"/>
        <v>0.57043341708542716</v>
      </c>
    </row>
    <row r="12" spans="1:17" ht="21.75" customHeight="1" x14ac:dyDescent="0.25">
      <c r="A12" s="66" t="s">
        <v>29</v>
      </c>
      <c r="B12" s="14" t="s">
        <v>30</v>
      </c>
      <c r="C12" s="15">
        <v>170047</v>
      </c>
      <c r="D12" s="20">
        <v>0</v>
      </c>
      <c r="E12" s="15">
        <f t="shared" si="6"/>
        <v>170047</v>
      </c>
      <c r="F12" s="15">
        <v>155877</v>
      </c>
      <c r="G12" s="20">
        <v>0</v>
      </c>
      <c r="H12" s="15">
        <v>828.64</v>
      </c>
      <c r="I12" s="75">
        <f>SUM(99080+H12)</f>
        <v>99908.64</v>
      </c>
      <c r="J12" s="17">
        <f t="shared" si="10"/>
        <v>55968.36</v>
      </c>
      <c r="K12" s="17">
        <f t="shared" si="7"/>
        <v>70138.36</v>
      </c>
      <c r="L12" s="17">
        <f t="shared" si="8"/>
        <v>14170</v>
      </c>
      <c r="M12" s="18">
        <v>66704.61</v>
      </c>
      <c r="N12" s="50">
        <f t="shared" si="9"/>
        <v>33204.03</v>
      </c>
      <c r="O12" s="30">
        <f t="shared" si="5"/>
        <v>0.64094536076521869</v>
      </c>
      <c r="P12" s="53">
        <f t="shared" si="2"/>
        <v>4.8730056984245531E-3</v>
      </c>
      <c r="Q12" s="54">
        <f t="shared" si="3"/>
        <v>0.58753544608255359</v>
      </c>
    </row>
    <row r="13" spans="1:17" ht="21.75" customHeight="1" x14ac:dyDescent="0.25">
      <c r="A13" s="66" t="s">
        <v>31</v>
      </c>
      <c r="B13" s="14" t="s">
        <v>32</v>
      </c>
      <c r="C13" s="15">
        <v>19527</v>
      </c>
      <c r="D13" s="20">
        <v>0</v>
      </c>
      <c r="E13" s="15">
        <f t="shared" si="6"/>
        <v>19527</v>
      </c>
      <c r="F13" s="15">
        <v>17900</v>
      </c>
      <c r="G13" s="20">
        <v>0</v>
      </c>
      <c r="H13" s="15">
        <v>0</v>
      </c>
      <c r="I13" s="75">
        <f>SUM(11231+H13)</f>
        <v>11231</v>
      </c>
      <c r="J13" s="17">
        <f t="shared" si="10"/>
        <v>6669</v>
      </c>
      <c r="K13" s="17">
        <f t="shared" si="7"/>
        <v>8296</v>
      </c>
      <c r="L13" s="17">
        <f t="shared" si="8"/>
        <v>1627</v>
      </c>
      <c r="M13" s="18">
        <v>7541.84</v>
      </c>
      <c r="N13" s="50">
        <f t="shared" si="9"/>
        <v>3689.16</v>
      </c>
      <c r="O13" s="30">
        <f t="shared" si="5"/>
        <v>0.62743016759776538</v>
      </c>
      <c r="P13" s="53">
        <f t="shared" si="2"/>
        <v>0</v>
      </c>
      <c r="Q13" s="54">
        <f t="shared" si="3"/>
        <v>0.57515235315204594</v>
      </c>
    </row>
    <row r="14" spans="1:17" ht="21.75" customHeight="1" x14ac:dyDescent="0.25">
      <c r="A14" s="66" t="s">
        <v>33</v>
      </c>
      <c r="B14" s="14" t="s">
        <v>34</v>
      </c>
      <c r="C14" s="15">
        <v>28472</v>
      </c>
      <c r="D14" s="20">
        <v>0</v>
      </c>
      <c r="E14" s="15">
        <f t="shared" si="6"/>
        <v>28472</v>
      </c>
      <c r="F14" s="15">
        <v>26100</v>
      </c>
      <c r="G14" s="20">
        <v>0</v>
      </c>
      <c r="H14" s="15">
        <v>0</v>
      </c>
      <c r="I14" s="75">
        <f>SUM(16483+H14)</f>
        <v>16483</v>
      </c>
      <c r="J14" s="17">
        <f t="shared" si="10"/>
        <v>9617</v>
      </c>
      <c r="K14" s="17">
        <f t="shared" si="7"/>
        <v>11989</v>
      </c>
      <c r="L14" s="17">
        <f t="shared" si="8"/>
        <v>2372</v>
      </c>
      <c r="M14" s="18">
        <v>11146.47</v>
      </c>
      <c r="N14" s="50">
        <f t="shared" si="9"/>
        <v>5336.5300000000007</v>
      </c>
      <c r="O14" s="30">
        <f t="shared" si="5"/>
        <v>0.63153256704980842</v>
      </c>
      <c r="P14" s="53">
        <f t="shared" si="2"/>
        <v>0</v>
      </c>
      <c r="Q14" s="54">
        <f t="shared" si="3"/>
        <v>0.57891964034841248</v>
      </c>
    </row>
    <row r="15" spans="1:17" ht="21.75" customHeight="1" x14ac:dyDescent="0.25">
      <c r="A15" s="66" t="s">
        <v>35</v>
      </c>
      <c r="B15" s="14" t="s">
        <v>36</v>
      </c>
      <c r="C15" s="15">
        <v>3906</v>
      </c>
      <c r="D15" s="20">
        <v>0</v>
      </c>
      <c r="E15" s="15">
        <f t="shared" si="6"/>
        <v>3906</v>
      </c>
      <c r="F15" s="15">
        <v>3581</v>
      </c>
      <c r="G15" s="20">
        <v>0</v>
      </c>
      <c r="H15" s="15">
        <v>111.08</v>
      </c>
      <c r="I15" s="75">
        <f>SUM(2197+H15)</f>
        <v>2308.08</v>
      </c>
      <c r="J15" s="17">
        <f t="shared" si="10"/>
        <v>1272.92</v>
      </c>
      <c r="K15" s="17">
        <f t="shared" si="7"/>
        <v>1597.92</v>
      </c>
      <c r="L15" s="17">
        <f t="shared" si="8"/>
        <v>325</v>
      </c>
      <c r="M15" s="18">
        <v>1776.22</v>
      </c>
      <c r="N15" s="50">
        <f t="shared" si="9"/>
        <v>531.8599999999999</v>
      </c>
      <c r="O15" s="30">
        <f t="shared" si="5"/>
        <v>0.64453504607651491</v>
      </c>
      <c r="P15" s="53">
        <f t="shared" si="2"/>
        <v>2.8438300051203277E-2</v>
      </c>
      <c r="Q15" s="54">
        <f t="shared" si="3"/>
        <v>0.59090629800307215</v>
      </c>
    </row>
    <row r="16" spans="1:17" ht="21.75" customHeight="1" x14ac:dyDescent="0.25">
      <c r="A16" s="68" t="s">
        <v>37</v>
      </c>
      <c r="B16" s="14" t="s">
        <v>38</v>
      </c>
      <c r="C16" s="15">
        <v>71348</v>
      </c>
      <c r="D16" s="20">
        <v>80000</v>
      </c>
      <c r="E16" s="15">
        <f t="shared" si="6"/>
        <v>151348</v>
      </c>
      <c r="F16" s="15">
        <v>151348</v>
      </c>
      <c r="G16" s="20">
        <v>0</v>
      </c>
      <c r="H16" s="15">
        <v>37048.33</v>
      </c>
      <c r="I16" s="75">
        <f>SUM(79129+H16)</f>
        <v>116177.33</v>
      </c>
      <c r="J16" s="17">
        <f t="shared" si="10"/>
        <v>35170.67</v>
      </c>
      <c r="K16" s="17">
        <f t="shared" si="7"/>
        <v>35170.67</v>
      </c>
      <c r="L16" s="17">
        <f t="shared" si="8"/>
        <v>0</v>
      </c>
      <c r="M16" s="18">
        <v>0</v>
      </c>
      <c r="N16" s="50">
        <f t="shared" si="9"/>
        <v>116177.33</v>
      </c>
      <c r="O16" s="30">
        <f t="shared" si="5"/>
        <v>0.76761721330972332</v>
      </c>
      <c r="P16" s="53">
        <f t="shared" si="2"/>
        <v>0.24478902925707641</v>
      </c>
      <c r="Q16" s="54">
        <f t="shared" si="3"/>
        <v>0.76761721330972332</v>
      </c>
    </row>
    <row r="17" spans="1:17" ht="21.75" customHeight="1" x14ac:dyDescent="0.25">
      <c r="A17" s="68" t="s">
        <v>39</v>
      </c>
      <c r="B17" s="14" t="s">
        <v>40</v>
      </c>
      <c r="C17" s="15">
        <v>0</v>
      </c>
      <c r="D17" s="20">
        <v>29265</v>
      </c>
      <c r="E17" s="15">
        <f t="shared" si="6"/>
        <v>29265</v>
      </c>
      <c r="F17" s="15">
        <v>29265</v>
      </c>
      <c r="G17" s="20">
        <v>0</v>
      </c>
      <c r="H17" s="15">
        <v>2200</v>
      </c>
      <c r="I17" s="75">
        <f>SUM(16706+H17)</f>
        <v>18906</v>
      </c>
      <c r="J17" s="17">
        <f t="shared" si="10"/>
        <v>10359</v>
      </c>
      <c r="K17" s="17">
        <f t="shared" si="7"/>
        <v>10359</v>
      </c>
      <c r="L17" s="17">
        <f t="shared" si="8"/>
        <v>0</v>
      </c>
      <c r="M17" s="18">
        <v>0</v>
      </c>
      <c r="N17" s="50">
        <f t="shared" si="9"/>
        <v>18906</v>
      </c>
      <c r="O17" s="30">
        <f t="shared" si="5"/>
        <v>0.64602767811378781</v>
      </c>
      <c r="P17" s="53">
        <v>0</v>
      </c>
      <c r="Q17" s="54">
        <f t="shared" si="3"/>
        <v>0.64602767811378781</v>
      </c>
    </row>
    <row r="18" spans="1:17" ht="21.75" customHeight="1" x14ac:dyDescent="0.25">
      <c r="A18" s="68" t="s">
        <v>41</v>
      </c>
      <c r="B18" s="14" t="s">
        <v>42</v>
      </c>
      <c r="C18" s="15">
        <v>0</v>
      </c>
      <c r="D18" s="20">
        <v>234</v>
      </c>
      <c r="E18" s="15">
        <f t="shared" si="6"/>
        <v>234</v>
      </c>
      <c r="F18" s="15">
        <v>234</v>
      </c>
      <c r="G18" s="20">
        <v>0</v>
      </c>
      <c r="H18" s="15">
        <v>84.02</v>
      </c>
      <c r="I18" s="75">
        <f>SUM(148+H18)</f>
        <v>232.01999999999998</v>
      </c>
      <c r="J18" s="17">
        <f t="shared" si="10"/>
        <v>1.9800000000000182</v>
      </c>
      <c r="K18" s="17">
        <f t="shared" si="7"/>
        <v>1.9800000000000182</v>
      </c>
      <c r="L18" s="17">
        <f t="shared" si="8"/>
        <v>0</v>
      </c>
      <c r="M18" s="18">
        <v>0</v>
      </c>
      <c r="N18" s="50">
        <f t="shared" si="9"/>
        <v>232.01999999999998</v>
      </c>
      <c r="O18" s="30">
        <f t="shared" si="5"/>
        <v>0.99153846153846148</v>
      </c>
      <c r="P18" s="53">
        <v>0</v>
      </c>
      <c r="Q18" s="54">
        <f t="shared" si="3"/>
        <v>0.99153846153846148</v>
      </c>
    </row>
    <row r="19" spans="1:17" ht="21.75" customHeight="1" x14ac:dyDescent="0.25">
      <c r="A19" s="68" t="s">
        <v>43</v>
      </c>
      <c r="B19" s="14" t="s">
        <v>44</v>
      </c>
      <c r="C19" s="15">
        <v>0</v>
      </c>
      <c r="D19" s="20">
        <v>0</v>
      </c>
      <c r="E19" s="15">
        <f t="shared" si="6"/>
        <v>0</v>
      </c>
      <c r="F19" s="15">
        <v>0</v>
      </c>
      <c r="G19" s="20">
        <v>0</v>
      </c>
      <c r="H19" s="15">
        <v>0</v>
      </c>
      <c r="I19" s="75">
        <f>SUM(0+H19)</f>
        <v>0</v>
      </c>
      <c r="J19" s="17">
        <f t="shared" si="10"/>
        <v>0</v>
      </c>
      <c r="K19" s="17">
        <f t="shared" si="7"/>
        <v>0</v>
      </c>
      <c r="L19" s="17">
        <f t="shared" si="8"/>
        <v>0</v>
      </c>
      <c r="M19" s="18">
        <v>0</v>
      </c>
      <c r="N19" s="50">
        <f t="shared" si="9"/>
        <v>0</v>
      </c>
      <c r="O19" s="30">
        <v>0</v>
      </c>
      <c r="P19" s="53">
        <v>0</v>
      </c>
      <c r="Q19" s="54">
        <v>0</v>
      </c>
    </row>
    <row r="20" spans="1:17" ht="21.75" customHeight="1" x14ac:dyDescent="0.25">
      <c r="A20" s="68" t="s">
        <v>45</v>
      </c>
      <c r="B20" s="14" t="s">
        <v>46</v>
      </c>
      <c r="C20" s="15">
        <v>0</v>
      </c>
      <c r="D20" s="20">
        <v>35000</v>
      </c>
      <c r="E20" s="15">
        <f t="shared" si="6"/>
        <v>35000</v>
      </c>
      <c r="F20" s="15">
        <v>35000</v>
      </c>
      <c r="G20" s="20">
        <v>0</v>
      </c>
      <c r="H20" s="15">
        <v>6308.08</v>
      </c>
      <c r="I20" s="75">
        <f>SUM(16086+H20)</f>
        <v>22394.080000000002</v>
      </c>
      <c r="J20" s="17">
        <f t="shared" si="10"/>
        <v>12605.919999999998</v>
      </c>
      <c r="K20" s="17">
        <f t="shared" si="7"/>
        <v>12605.919999999998</v>
      </c>
      <c r="L20" s="17">
        <f t="shared" si="8"/>
        <v>0</v>
      </c>
      <c r="M20" s="18">
        <v>0</v>
      </c>
      <c r="N20" s="50">
        <f t="shared" si="9"/>
        <v>22394.080000000002</v>
      </c>
      <c r="O20" s="30">
        <f t="shared" si="5"/>
        <v>0.63983085714285715</v>
      </c>
      <c r="P20" s="53">
        <v>0</v>
      </c>
      <c r="Q20" s="54">
        <f t="shared" si="3"/>
        <v>0.63983085714285715</v>
      </c>
    </row>
    <row r="21" spans="1:17" ht="21.75" customHeight="1" x14ac:dyDescent="0.25">
      <c r="A21" s="68"/>
      <c r="B21" s="14"/>
      <c r="C21" s="15"/>
      <c r="D21" s="20"/>
      <c r="E21" s="20"/>
      <c r="F21" s="15"/>
      <c r="G21" s="20"/>
      <c r="H21" s="15"/>
      <c r="I21" s="75"/>
      <c r="J21" s="17"/>
      <c r="K21" s="17"/>
      <c r="L21" s="17"/>
      <c r="M21" s="18"/>
      <c r="N21" s="50"/>
      <c r="O21" s="21"/>
      <c r="P21" s="53"/>
      <c r="Q21" s="55"/>
    </row>
    <row r="22" spans="1:17" ht="21.75" customHeight="1" x14ac:dyDescent="0.25">
      <c r="A22" s="69"/>
      <c r="B22" s="11" t="s">
        <v>47</v>
      </c>
      <c r="C22" s="9">
        <f>SUM(C23:C58)</f>
        <v>448750</v>
      </c>
      <c r="D22" s="9">
        <f>SUM(D23:D60)</f>
        <v>57571</v>
      </c>
      <c r="E22" s="22">
        <f>SUM(E23:E60)</f>
        <v>506321</v>
      </c>
      <c r="F22" s="76">
        <f>SUM(F23:F60)</f>
        <v>506321</v>
      </c>
      <c r="G22" s="9">
        <f>SUM(G23:G59)</f>
        <v>46617.65</v>
      </c>
      <c r="H22" s="9">
        <f>SUM(H23:H60)</f>
        <v>89677.49000000002</v>
      </c>
      <c r="I22" s="9">
        <f>SUM(I23:I60)</f>
        <v>308986.05</v>
      </c>
      <c r="J22" s="9">
        <f>SUM(J23:J60)</f>
        <v>197334.95000000004</v>
      </c>
      <c r="K22" s="9">
        <f>SUM(E22-G22-I22)</f>
        <v>150717.29999999999</v>
      </c>
      <c r="L22" s="17">
        <f t="shared" si="8"/>
        <v>0</v>
      </c>
      <c r="M22" s="9">
        <f>SUM(M23:M60)</f>
        <v>123504.82999999999</v>
      </c>
      <c r="N22" s="22">
        <f>SUM(I23-M60)</f>
        <v>72028.350000000006</v>
      </c>
      <c r="O22" s="23">
        <f t="shared" ref="O22:O53" si="11">SUM(I22/F22*100%)</f>
        <v>0.61025722812208061</v>
      </c>
      <c r="P22" s="60">
        <f t="shared" ref="P22:P53" si="12">SUM(H22/E22)</f>
        <v>0.17711588103199358</v>
      </c>
      <c r="Q22" s="56">
        <f t="shared" ref="Q22:Q53" si="13">SUM(I22/E22*100%)</f>
        <v>0.61025722812208061</v>
      </c>
    </row>
    <row r="23" spans="1:17" ht="21.75" customHeight="1" x14ac:dyDescent="0.25">
      <c r="A23" s="67" t="s">
        <v>48</v>
      </c>
      <c r="B23" s="14" t="s">
        <v>49</v>
      </c>
      <c r="C23" s="15">
        <v>120000</v>
      </c>
      <c r="D23" s="77">
        <v>-7361</v>
      </c>
      <c r="E23" s="15">
        <f>SUM(C23:D23)</f>
        <v>112639</v>
      </c>
      <c r="F23" s="15">
        <v>112639</v>
      </c>
      <c r="G23" s="15">
        <v>46617.65</v>
      </c>
      <c r="H23" s="15">
        <v>48115.3</v>
      </c>
      <c r="I23" s="15">
        <f>SUM(23963+H23)</f>
        <v>72078.3</v>
      </c>
      <c r="J23" s="17">
        <f>SUM(F23-I23)</f>
        <v>40560.699999999997</v>
      </c>
      <c r="K23" s="17">
        <f>SUM(E23-G23-I23)</f>
        <v>-6056.9499999999971</v>
      </c>
      <c r="L23" s="17">
        <f t="shared" si="8"/>
        <v>0</v>
      </c>
      <c r="M23" s="15">
        <v>16474.150000000001</v>
      </c>
      <c r="N23" s="50">
        <f t="shared" ref="N22:N60" si="14">SUM(I23-M23)</f>
        <v>55604.15</v>
      </c>
      <c r="O23" s="21">
        <f t="shared" si="11"/>
        <v>0.63990536137572251</v>
      </c>
      <c r="P23" s="53">
        <f t="shared" si="12"/>
        <v>0.42716377098518277</v>
      </c>
      <c r="Q23" s="55">
        <f t="shared" si="13"/>
        <v>0.63990536137572251</v>
      </c>
    </row>
    <row r="24" spans="1:17" ht="21.75" customHeight="1" x14ac:dyDescent="0.25">
      <c r="A24" s="67" t="s">
        <v>50</v>
      </c>
      <c r="B24" s="14" t="s">
        <v>51</v>
      </c>
      <c r="C24" s="15">
        <v>3500</v>
      </c>
      <c r="D24" s="77">
        <v>-2232</v>
      </c>
      <c r="E24" s="15">
        <f t="shared" ref="E24:E60" si="15">SUM(C24:D24)</f>
        <v>1268</v>
      </c>
      <c r="F24" s="15">
        <v>1268</v>
      </c>
      <c r="G24" s="15">
        <v>0</v>
      </c>
      <c r="H24" s="15">
        <v>0</v>
      </c>
      <c r="I24" s="15">
        <v>767.05</v>
      </c>
      <c r="J24" s="17">
        <f t="shared" ref="J24:J60" si="16">SUM(F24-I24)</f>
        <v>500.95000000000005</v>
      </c>
      <c r="K24" s="17">
        <f>SUM(E24-G24-I24)</f>
        <v>500.95000000000005</v>
      </c>
      <c r="L24" s="17">
        <f t="shared" si="8"/>
        <v>0</v>
      </c>
      <c r="M24" s="15">
        <v>0</v>
      </c>
      <c r="N24" s="50">
        <f t="shared" si="14"/>
        <v>767.05</v>
      </c>
      <c r="O24" s="21">
        <f t="shared" si="11"/>
        <v>0.60492902208201893</v>
      </c>
      <c r="P24" s="53">
        <f t="shared" si="12"/>
        <v>0</v>
      </c>
      <c r="Q24" s="55">
        <f t="shared" si="13"/>
        <v>0.60492902208201893</v>
      </c>
    </row>
    <row r="25" spans="1:17" ht="21.75" customHeight="1" x14ac:dyDescent="0.25">
      <c r="A25" s="67" t="s">
        <v>52</v>
      </c>
      <c r="B25" s="14" t="s">
        <v>53</v>
      </c>
      <c r="C25" s="15">
        <v>4000</v>
      </c>
      <c r="D25" s="77">
        <v>-809</v>
      </c>
      <c r="E25" s="15">
        <f t="shared" si="15"/>
        <v>3191</v>
      </c>
      <c r="F25" s="15">
        <v>3191</v>
      </c>
      <c r="G25" s="15">
        <v>0</v>
      </c>
      <c r="H25" s="15">
        <v>0</v>
      </c>
      <c r="I25" s="15">
        <v>3180.88</v>
      </c>
      <c r="J25" s="17">
        <f t="shared" si="16"/>
        <v>10.119999999999891</v>
      </c>
      <c r="K25" s="17">
        <f t="shared" ref="K25:K60" si="17">SUM(E25-G25-I25)</f>
        <v>10.119999999999891</v>
      </c>
      <c r="L25" s="17">
        <f t="shared" si="8"/>
        <v>0</v>
      </c>
      <c r="M25" s="15">
        <v>1926</v>
      </c>
      <c r="N25" s="50">
        <f t="shared" si="14"/>
        <v>1254.8800000000001</v>
      </c>
      <c r="O25" s="21">
        <f t="shared" si="11"/>
        <v>0.99682858038232536</v>
      </c>
      <c r="P25" s="53">
        <f t="shared" si="12"/>
        <v>0</v>
      </c>
      <c r="Q25" s="55">
        <f t="shared" si="13"/>
        <v>0.99682858038232536</v>
      </c>
    </row>
    <row r="26" spans="1:17" ht="21.75" customHeight="1" x14ac:dyDescent="0.25">
      <c r="A26" s="67" t="s">
        <v>54</v>
      </c>
      <c r="B26" s="14" t="s">
        <v>55</v>
      </c>
      <c r="C26" s="15">
        <v>3000</v>
      </c>
      <c r="D26" s="77">
        <v>-1945</v>
      </c>
      <c r="E26" s="15">
        <f t="shared" si="15"/>
        <v>1055</v>
      </c>
      <c r="F26" s="15">
        <v>1055</v>
      </c>
      <c r="G26" s="15">
        <v>0</v>
      </c>
      <c r="H26" s="15">
        <v>0</v>
      </c>
      <c r="I26" s="15">
        <v>721.82</v>
      </c>
      <c r="J26" s="17">
        <f t="shared" si="16"/>
        <v>333.17999999999995</v>
      </c>
      <c r="K26" s="17">
        <f t="shared" si="17"/>
        <v>333.17999999999995</v>
      </c>
      <c r="L26" s="17">
        <f t="shared" si="8"/>
        <v>0</v>
      </c>
      <c r="M26" s="15">
        <v>0</v>
      </c>
      <c r="N26" s="50">
        <f t="shared" si="14"/>
        <v>721.82</v>
      </c>
      <c r="O26" s="21">
        <f t="shared" si="11"/>
        <v>0.68418957345971565</v>
      </c>
      <c r="P26" s="53">
        <f t="shared" si="12"/>
        <v>0</v>
      </c>
      <c r="Q26" s="55">
        <f t="shared" si="13"/>
        <v>0.68418957345971565</v>
      </c>
    </row>
    <row r="27" spans="1:17" ht="21.75" customHeight="1" x14ac:dyDescent="0.25">
      <c r="A27" s="67" t="s">
        <v>56</v>
      </c>
      <c r="B27" s="14" t="s">
        <v>57</v>
      </c>
      <c r="C27" s="15">
        <v>3000</v>
      </c>
      <c r="D27" s="77">
        <v>-2078</v>
      </c>
      <c r="E27" s="15">
        <f t="shared" si="15"/>
        <v>922</v>
      </c>
      <c r="F27" s="15">
        <v>922</v>
      </c>
      <c r="G27" s="15">
        <v>0</v>
      </c>
      <c r="H27" s="15">
        <v>0</v>
      </c>
      <c r="I27" s="15">
        <v>721.82</v>
      </c>
      <c r="J27" s="17">
        <f t="shared" si="16"/>
        <v>200.17999999999995</v>
      </c>
      <c r="K27" s="17">
        <f t="shared" si="17"/>
        <v>200.17999999999995</v>
      </c>
      <c r="L27" s="17">
        <f t="shared" si="8"/>
        <v>0</v>
      </c>
      <c r="M27" s="15">
        <v>0</v>
      </c>
      <c r="N27" s="50">
        <f t="shared" si="14"/>
        <v>721.82</v>
      </c>
      <c r="O27" s="21">
        <f t="shared" si="11"/>
        <v>0.78288503253796105</v>
      </c>
      <c r="P27" s="53">
        <f t="shared" si="12"/>
        <v>0</v>
      </c>
      <c r="Q27" s="55">
        <f t="shared" si="13"/>
        <v>0.78288503253796105</v>
      </c>
    </row>
    <row r="28" spans="1:17" ht="21.75" customHeight="1" x14ac:dyDescent="0.25">
      <c r="A28" s="67">
        <v>111</v>
      </c>
      <c r="B28" s="14" t="s">
        <v>58</v>
      </c>
      <c r="C28" s="15">
        <v>2000</v>
      </c>
      <c r="D28" s="77">
        <v>0</v>
      </c>
      <c r="E28" s="15">
        <f t="shared" si="15"/>
        <v>2000</v>
      </c>
      <c r="F28" s="15">
        <v>2000</v>
      </c>
      <c r="G28" s="15">
        <v>0</v>
      </c>
      <c r="H28" s="15">
        <v>73.790000000000006</v>
      </c>
      <c r="I28" s="75">
        <f>SUM(60+H28)</f>
        <v>133.79000000000002</v>
      </c>
      <c r="J28" s="17">
        <f t="shared" si="16"/>
        <v>1866.21</v>
      </c>
      <c r="K28" s="17">
        <f t="shared" si="17"/>
        <v>1866.21</v>
      </c>
      <c r="L28" s="17">
        <f t="shared" si="8"/>
        <v>0</v>
      </c>
      <c r="M28" s="15">
        <v>59.5</v>
      </c>
      <c r="N28" s="50">
        <f t="shared" si="14"/>
        <v>74.29000000000002</v>
      </c>
      <c r="O28" s="21">
        <f t="shared" si="11"/>
        <v>6.689500000000001E-2</v>
      </c>
      <c r="P28" s="53">
        <f t="shared" si="12"/>
        <v>3.6895000000000004E-2</v>
      </c>
      <c r="Q28" s="55">
        <f t="shared" si="13"/>
        <v>6.689500000000001E-2</v>
      </c>
    </row>
    <row r="29" spans="1:17" ht="21.75" customHeight="1" x14ac:dyDescent="0.25">
      <c r="A29" s="67" t="s">
        <v>59</v>
      </c>
      <c r="B29" s="14" t="s">
        <v>60</v>
      </c>
      <c r="C29" s="15">
        <v>1000</v>
      </c>
      <c r="D29" s="77">
        <v>0</v>
      </c>
      <c r="E29" s="15">
        <f t="shared" si="15"/>
        <v>1000</v>
      </c>
      <c r="F29" s="15">
        <v>1000</v>
      </c>
      <c r="G29" s="15">
        <v>0</v>
      </c>
      <c r="H29" s="15">
        <v>0</v>
      </c>
      <c r="I29" s="15">
        <v>0</v>
      </c>
      <c r="J29" s="17">
        <f t="shared" si="16"/>
        <v>1000</v>
      </c>
      <c r="K29" s="17">
        <f t="shared" si="17"/>
        <v>1000</v>
      </c>
      <c r="L29" s="17">
        <f t="shared" si="8"/>
        <v>0</v>
      </c>
      <c r="M29" s="15">
        <v>0</v>
      </c>
      <c r="N29" s="50">
        <f t="shared" si="14"/>
        <v>0</v>
      </c>
      <c r="O29" s="21">
        <f t="shared" si="11"/>
        <v>0</v>
      </c>
      <c r="P29" s="53">
        <f t="shared" si="12"/>
        <v>0</v>
      </c>
      <c r="Q29" s="55">
        <f t="shared" si="13"/>
        <v>0</v>
      </c>
    </row>
    <row r="30" spans="1:17" ht="21.75" customHeight="1" x14ac:dyDescent="0.25">
      <c r="A30" s="67" t="s">
        <v>61</v>
      </c>
      <c r="B30" s="14" t="s">
        <v>62</v>
      </c>
      <c r="C30" s="15">
        <v>500</v>
      </c>
      <c r="D30" s="77">
        <v>0</v>
      </c>
      <c r="E30" s="15">
        <f t="shared" si="15"/>
        <v>500</v>
      </c>
      <c r="F30" s="15">
        <v>500</v>
      </c>
      <c r="G30" s="15">
        <v>0</v>
      </c>
      <c r="H30" s="15">
        <v>0</v>
      </c>
      <c r="I30" s="15">
        <v>40</v>
      </c>
      <c r="J30" s="17">
        <f t="shared" si="16"/>
        <v>460</v>
      </c>
      <c r="K30" s="17">
        <f t="shared" si="17"/>
        <v>460</v>
      </c>
      <c r="L30" s="17">
        <f t="shared" si="8"/>
        <v>0</v>
      </c>
      <c r="M30" s="15">
        <v>40</v>
      </c>
      <c r="N30" s="50">
        <f t="shared" si="14"/>
        <v>0</v>
      </c>
      <c r="O30" s="21">
        <f t="shared" si="11"/>
        <v>0.08</v>
      </c>
      <c r="P30" s="53">
        <f t="shared" si="12"/>
        <v>0</v>
      </c>
      <c r="Q30" s="55">
        <f t="shared" si="13"/>
        <v>0.08</v>
      </c>
    </row>
    <row r="31" spans="1:17" ht="21.75" customHeight="1" x14ac:dyDescent="0.25">
      <c r="A31" s="67" t="s">
        <v>63</v>
      </c>
      <c r="B31" s="14" t="s">
        <v>64</v>
      </c>
      <c r="C31" s="15">
        <v>28500</v>
      </c>
      <c r="D31" s="77">
        <v>0</v>
      </c>
      <c r="E31" s="15">
        <f t="shared" si="15"/>
        <v>28500</v>
      </c>
      <c r="F31" s="15">
        <v>28500</v>
      </c>
      <c r="G31" s="15">
        <v>0</v>
      </c>
      <c r="H31" s="15">
        <v>1717.98</v>
      </c>
      <c r="I31" s="15">
        <f>SUM(13325+H31)</f>
        <v>15042.98</v>
      </c>
      <c r="J31" s="17">
        <f t="shared" si="16"/>
        <v>13457.02</v>
      </c>
      <c r="K31" s="17">
        <f t="shared" si="17"/>
        <v>13457.02</v>
      </c>
      <c r="L31" s="17">
        <f t="shared" si="8"/>
        <v>0</v>
      </c>
      <c r="M31" s="15">
        <v>13207.51</v>
      </c>
      <c r="N31" s="50">
        <f t="shared" si="14"/>
        <v>1835.4699999999993</v>
      </c>
      <c r="O31" s="21">
        <f t="shared" si="11"/>
        <v>0.52782385964912282</v>
      </c>
      <c r="P31" s="53">
        <f t="shared" si="12"/>
        <v>6.028E-2</v>
      </c>
      <c r="Q31" s="55">
        <f t="shared" si="13"/>
        <v>0.52782385964912282</v>
      </c>
    </row>
    <row r="32" spans="1:17" ht="21.75" customHeight="1" x14ac:dyDescent="0.25">
      <c r="A32" s="67" t="s">
        <v>65</v>
      </c>
      <c r="B32" s="14" t="s">
        <v>66</v>
      </c>
      <c r="C32" s="15">
        <v>15000</v>
      </c>
      <c r="D32" s="77">
        <v>1921</v>
      </c>
      <c r="E32" s="15">
        <f t="shared" si="15"/>
        <v>16921</v>
      </c>
      <c r="F32" s="15">
        <v>16921</v>
      </c>
      <c r="G32" s="15">
        <v>0</v>
      </c>
      <c r="H32" s="15">
        <v>2410.89</v>
      </c>
      <c r="I32" s="15">
        <f>SUM(14889+H32)</f>
        <v>17299.89</v>
      </c>
      <c r="J32" s="17">
        <f t="shared" si="16"/>
        <v>-378.88999999999942</v>
      </c>
      <c r="K32" s="17">
        <f t="shared" si="17"/>
        <v>-378.88999999999942</v>
      </c>
      <c r="L32" s="17">
        <f t="shared" si="8"/>
        <v>0</v>
      </c>
      <c r="M32" s="15">
        <v>14802.66</v>
      </c>
      <c r="N32" s="50">
        <f t="shared" si="14"/>
        <v>2497.2299999999996</v>
      </c>
      <c r="O32" s="21">
        <f t="shared" si="11"/>
        <v>1.0223917026180485</v>
      </c>
      <c r="P32" s="53">
        <f t="shared" si="12"/>
        <v>0.14247916789787837</v>
      </c>
      <c r="Q32" s="55">
        <f t="shared" si="13"/>
        <v>1.0223917026180485</v>
      </c>
    </row>
    <row r="33" spans="1:17" ht="21.75" customHeight="1" x14ac:dyDescent="0.25">
      <c r="A33" s="67" t="s">
        <v>67</v>
      </c>
      <c r="B33" s="14" t="s">
        <v>68</v>
      </c>
      <c r="C33" s="15">
        <v>25000</v>
      </c>
      <c r="D33" s="77">
        <v>0</v>
      </c>
      <c r="E33" s="15">
        <f t="shared" si="15"/>
        <v>25000</v>
      </c>
      <c r="F33" s="15">
        <v>25000</v>
      </c>
      <c r="G33" s="15">
        <v>0</v>
      </c>
      <c r="H33" s="15">
        <v>0</v>
      </c>
      <c r="I33" s="15">
        <v>0</v>
      </c>
      <c r="J33" s="17">
        <f t="shared" si="16"/>
        <v>25000</v>
      </c>
      <c r="K33" s="17">
        <f t="shared" si="17"/>
        <v>25000</v>
      </c>
      <c r="L33" s="17">
        <f t="shared" si="8"/>
        <v>0</v>
      </c>
      <c r="M33" s="15">
        <v>0</v>
      </c>
      <c r="N33" s="50">
        <f t="shared" si="14"/>
        <v>0</v>
      </c>
      <c r="O33" s="21">
        <f t="shared" si="11"/>
        <v>0</v>
      </c>
      <c r="P33" s="53">
        <f t="shared" si="12"/>
        <v>0</v>
      </c>
      <c r="Q33" s="55">
        <f t="shared" si="13"/>
        <v>0</v>
      </c>
    </row>
    <row r="34" spans="1:17" ht="21.75" customHeight="1" x14ac:dyDescent="0.25">
      <c r="A34" s="67">
        <v>117</v>
      </c>
      <c r="B34" s="14" t="s">
        <v>69</v>
      </c>
      <c r="C34" s="15">
        <v>10000</v>
      </c>
      <c r="D34" s="77">
        <v>0</v>
      </c>
      <c r="E34" s="15">
        <f t="shared" si="15"/>
        <v>10000</v>
      </c>
      <c r="F34" s="15">
        <v>10000</v>
      </c>
      <c r="G34" s="15">
        <v>0</v>
      </c>
      <c r="H34" s="15">
        <v>0</v>
      </c>
      <c r="I34" s="15">
        <v>1926</v>
      </c>
      <c r="J34" s="17">
        <f t="shared" si="16"/>
        <v>8074</v>
      </c>
      <c r="K34" s="17">
        <f t="shared" si="17"/>
        <v>8074</v>
      </c>
      <c r="L34" s="17">
        <f t="shared" si="8"/>
        <v>0</v>
      </c>
      <c r="M34" s="15">
        <v>963</v>
      </c>
      <c r="N34" s="50">
        <f t="shared" si="14"/>
        <v>963</v>
      </c>
      <c r="O34" s="21">
        <f t="shared" si="11"/>
        <v>0.19259999999999999</v>
      </c>
      <c r="P34" s="53">
        <f t="shared" si="12"/>
        <v>0</v>
      </c>
      <c r="Q34" s="55">
        <f t="shared" si="13"/>
        <v>0.19259999999999999</v>
      </c>
    </row>
    <row r="35" spans="1:17" ht="21.75" customHeight="1" x14ac:dyDescent="0.25">
      <c r="A35" s="67" t="s">
        <v>70</v>
      </c>
      <c r="B35" s="14" t="s">
        <v>71</v>
      </c>
      <c r="C35" s="15">
        <v>10000</v>
      </c>
      <c r="D35" s="77">
        <v>782</v>
      </c>
      <c r="E35" s="15">
        <f t="shared" si="15"/>
        <v>10782</v>
      </c>
      <c r="F35" s="15">
        <v>10782</v>
      </c>
      <c r="G35" s="15">
        <v>0</v>
      </c>
      <c r="H35" s="15">
        <v>0</v>
      </c>
      <c r="I35" s="15">
        <f>SUM(7401+H35)</f>
        <v>7401</v>
      </c>
      <c r="J35" s="17">
        <f t="shared" si="16"/>
        <v>3381</v>
      </c>
      <c r="K35" s="17">
        <f t="shared" si="17"/>
        <v>3381</v>
      </c>
      <c r="L35" s="17">
        <f t="shared" si="8"/>
        <v>0</v>
      </c>
      <c r="M35" s="15">
        <v>0</v>
      </c>
      <c r="N35" s="50">
        <f t="shared" si="14"/>
        <v>7401</v>
      </c>
      <c r="O35" s="21">
        <f t="shared" si="11"/>
        <v>0.68642181413466885</v>
      </c>
      <c r="P35" s="53">
        <f t="shared" si="12"/>
        <v>0</v>
      </c>
      <c r="Q35" s="55">
        <f t="shared" si="13"/>
        <v>0.68642181413466885</v>
      </c>
    </row>
    <row r="36" spans="1:17" ht="21.75" customHeight="1" x14ac:dyDescent="0.25">
      <c r="A36" s="70">
        <v>131</v>
      </c>
      <c r="B36" s="24" t="s">
        <v>72</v>
      </c>
      <c r="C36" s="15">
        <v>10000</v>
      </c>
      <c r="D36" s="78">
        <v>-3316</v>
      </c>
      <c r="E36" s="15">
        <f t="shared" si="15"/>
        <v>6684</v>
      </c>
      <c r="F36" s="15">
        <v>6684</v>
      </c>
      <c r="G36" s="15">
        <v>0</v>
      </c>
      <c r="H36" s="15">
        <v>0</v>
      </c>
      <c r="I36" s="15">
        <f>SUM(5684+H36)</f>
        <v>5684</v>
      </c>
      <c r="J36" s="17">
        <f t="shared" si="16"/>
        <v>1000</v>
      </c>
      <c r="K36" s="17">
        <f t="shared" si="17"/>
        <v>1000</v>
      </c>
      <c r="L36" s="17">
        <f t="shared" si="8"/>
        <v>0</v>
      </c>
      <c r="M36" s="25">
        <v>0</v>
      </c>
      <c r="N36" s="50">
        <f t="shared" si="14"/>
        <v>5684</v>
      </c>
      <c r="O36" s="21">
        <f t="shared" si="11"/>
        <v>0.85038898862956314</v>
      </c>
      <c r="P36" s="53">
        <f t="shared" si="12"/>
        <v>0</v>
      </c>
      <c r="Q36" s="55">
        <f t="shared" si="13"/>
        <v>0.85038898862956314</v>
      </c>
    </row>
    <row r="37" spans="1:17" ht="21.75" customHeight="1" x14ac:dyDescent="0.25">
      <c r="A37" s="67" t="s">
        <v>73</v>
      </c>
      <c r="B37" s="14" t="s">
        <v>74</v>
      </c>
      <c r="C37" s="15">
        <v>30000</v>
      </c>
      <c r="D37" s="77">
        <v>39900</v>
      </c>
      <c r="E37" s="15">
        <f t="shared" si="15"/>
        <v>69900</v>
      </c>
      <c r="F37" s="15">
        <v>69900</v>
      </c>
      <c r="G37" s="15">
        <v>0</v>
      </c>
      <c r="H37" s="15">
        <v>18122.13</v>
      </c>
      <c r="I37" s="15">
        <f>SUM(29223+H37)</f>
        <v>47345.130000000005</v>
      </c>
      <c r="J37" s="17">
        <f t="shared" si="16"/>
        <v>22554.869999999995</v>
      </c>
      <c r="K37" s="17">
        <f t="shared" si="17"/>
        <v>22554.869999999995</v>
      </c>
      <c r="L37" s="17">
        <f t="shared" si="8"/>
        <v>0</v>
      </c>
      <c r="M37" s="15">
        <v>10009.42</v>
      </c>
      <c r="N37" s="50">
        <f t="shared" si="14"/>
        <v>37335.710000000006</v>
      </c>
      <c r="O37" s="21">
        <f t="shared" si="11"/>
        <v>0.67732660944206013</v>
      </c>
      <c r="P37" s="53">
        <f t="shared" si="12"/>
        <v>0.25925793991416313</v>
      </c>
      <c r="Q37" s="55">
        <f t="shared" si="13"/>
        <v>0.67732660944206013</v>
      </c>
    </row>
    <row r="38" spans="1:17" ht="21.75" customHeight="1" x14ac:dyDescent="0.25">
      <c r="A38" s="67" t="s">
        <v>75</v>
      </c>
      <c r="B38" s="14" t="s">
        <v>76</v>
      </c>
      <c r="C38" s="15">
        <v>15250</v>
      </c>
      <c r="D38" s="20">
        <v>-2288</v>
      </c>
      <c r="E38" s="15">
        <f t="shared" si="15"/>
        <v>12962</v>
      </c>
      <c r="F38" s="15">
        <v>12962</v>
      </c>
      <c r="G38" s="15">
        <v>0</v>
      </c>
      <c r="H38" s="15">
        <v>1812</v>
      </c>
      <c r="I38" s="15">
        <f>SUM(8167+H38)</f>
        <v>9979</v>
      </c>
      <c r="J38" s="17">
        <f t="shared" si="16"/>
        <v>2983</v>
      </c>
      <c r="K38" s="17">
        <f t="shared" si="17"/>
        <v>2983</v>
      </c>
      <c r="L38" s="17">
        <f t="shared" si="8"/>
        <v>0</v>
      </c>
      <c r="M38" s="15">
        <v>5288</v>
      </c>
      <c r="N38" s="50">
        <f t="shared" si="14"/>
        <v>4691</v>
      </c>
      <c r="O38" s="21">
        <f t="shared" si="11"/>
        <v>0.76986576145656538</v>
      </c>
      <c r="P38" s="53">
        <f t="shared" si="12"/>
        <v>0.13979324178367536</v>
      </c>
      <c r="Q38" s="55">
        <f t="shared" si="13"/>
        <v>0.76986576145656538</v>
      </c>
    </row>
    <row r="39" spans="1:17" ht="21.75" customHeight="1" x14ac:dyDescent="0.25">
      <c r="A39" s="67" t="s">
        <v>77</v>
      </c>
      <c r="B39" s="14" t="s">
        <v>78</v>
      </c>
      <c r="C39" s="15">
        <v>45000</v>
      </c>
      <c r="D39" s="20">
        <v>1914</v>
      </c>
      <c r="E39" s="15">
        <f t="shared" si="15"/>
        <v>46914</v>
      </c>
      <c r="F39" s="15">
        <v>46914</v>
      </c>
      <c r="G39" s="15">
        <v>0</v>
      </c>
      <c r="H39" s="15">
        <v>7050</v>
      </c>
      <c r="I39" s="15">
        <f>SUM(31514+H39)</f>
        <v>38564</v>
      </c>
      <c r="J39" s="17">
        <f t="shared" si="16"/>
        <v>8350</v>
      </c>
      <c r="K39" s="17">
        <f t="shared" si="17"/>
        <v>8350</v>
      </c>
      <c r="L39" s="17">
        <f t="shared" si="8"/>
        <v>0</v>
      </c>
      <c r="M39" s="15">
        <v>31500</v>
      </c>
      <c r="N39" s="50">
        <f t="shared" si="14"/>
        <v>7064</v>
      </c>
      <c r="O39" s="21">
        <f t="shared" si="11"/>
        <v>0.82201475039433858</v>
      </c>
      <c r="P39" s="53">
        <f t="shared" si="12"/>
        <v>0.15027497122394168</v>
      </c>
      <c r="Q39" s="55">
        <f t="shared" si="13"/>
        <v>0.82201475039433858</v>
      </c>
    </row>
    <row r="40" spans="1:17" ht="21.75" customHeight="1" x14ac:dyDescent="0.25">
      <c r="A40" s="67">
        <v>143</v>
      </c>
      <c r="B40" s="14" t="s">
        <v>192</v>
      </c>
      <c r="C40" s="15">
        <v>0</v>
      </c>
      <c r="D40" s="20">
        <v>700</v>
      </c>
      <c r="E40" s="15">
        <f t="shared" si="15"/>
        <v>700</v>
      </c>
      <c r="F40" s="15">
        <v>700</v>
      </c>
      <c r="G40" s="15"/>
      <c r="H40" s="15">
        <v>0</v>
      </c>
      <c r="I40" s="15">
        <f>SUM(600+H40)</f>
        <v>600</v>
      </c>
      <c r="J40" s="17">
        <f t="shared" si="16"/>
        <v>100</v>
      </c>
      <c r="K40" s="17">
        <f t="shared" si="17"/>
        <v>100</v>
      </c>
      <c r="L40" s="17">
        <f t="shared" si="8"/>
        <v>0</v>
      </c>
      <c r="M40" s="15">
        <v>600</v>
      </c>
      <c r="N40" s="50">
        <f t="shared" si="14"/>
        <v>0</v>
      </c>
      <c r="O40" s="21">
        <f t="shared" si="11"/>
        <v>0.8571428571428571</v>
      </c>
      <c r="P40" s="53">
        <f t="shared" si="12"/>
        <v>0</v>
      </c>
      <c r="Q40" s="55">
        <f t="shared" si="13"/>
        <v>0.8571428571428571</v>
      </c>
    </row>
    <row r="41" spans="1:17" ht="21.75" customHeight="1" x14ac:dyDescent="0.25">
      <c r="A41" s="67" t="s">
        <v>79</v>
      </c>
      <c r="B41" s="14" t="s">
        <v>80</v>
      </c>
      <c r="C41" s="15">
        <v>13000</v>
      </c>
      <c r="D41" s="20">
        <v>-4978</v>
      </c>
      <c r="E41" s="15">
        <f t="shared" si="15"/>
        <v>8022</v>
      </c>
      <c r="F41" s="15">
        <v>8022</v>
      </c>
      <c r="G41" s="15">
        <v>0</v>
      </c>
      <c r="H41" s="15">
        <v>950.75</v>
      </c>
      <c r="I41" s="15">
        <f>SUM(5137+H41)</f>
        <v>6087.75</v>
      </c>
      <c r="J41" s="17">
        <f t="shared" si="16"/>
        <v>1934.25</v>
      </c>
      <c r="K41" s="17">
        <f t="shared" si="17"/>
        <v>1934.25</v>
      </c>
      <c r="L41" s="17">
        <f t="shared" si="8"/>
        <v>0</v>
      </c>
      <c r="M41" s="15">
        <v>2327.5</v>
      </c>
      <c r="N41" s="50">
        <f t="shared" si="14"/>
        <v>3760.25</v>
      </c>
      <c r="O41" s="21">
        <f t="shared" si="11"/>
        <v>0.75888182498130141</v>
      </c>
      <c r="P41" s="53">
        <f t="shared" si="12"/>
        <v>0.11851782597855896</v>
      </c>
      <c r="Q41" s="55">
        <f t="shared" si="13"/>
        <v>0.75888182498130141</v>
      </c>
    </row>
    <row r="42" spans="1:17" ht="21.75" customHeight="1" x14ac:dyDescent="0.25">
      <c r="A42" s="71" t="s">
        <v>81</v>
      </c>
      <c r="B42" s="14" t="s">
        <v>82</v>
      </c>
      <c r="C42" s="15">
        <v>40000</v>
      </c>
      <c r="D42" s="79">
        <v>-437</v>
      </c>
      <c r="E42" s="15">
        <f t="shared" si="15"/>
        <v>39563</v>
      </c>
      <c r="F42" s="15">
        <v>39563</v>
      </c>
      <c r="G42" s="15">
        <v>0</v>
      </c>
      <c r="H42" s="15">
        <v>567.85</v>
      </c>
      <c r="I42" s="15">
        <f>SUM(21995+H42)</f>
        <v>22562.85</v>
      </c>
      <c r="J42" s="17">
        <f t="shared" si="16"/>
        <v>17000.150000000001</v>
      </c>
      <c r="K42" s="17">
        <f t="shared" si="17"/>
        <v>17000.150000000001</v>
      </c>
      <c r="L42" s="17">
        <f t="shared" si="8"/>
        <v>0</v>
      </c>
      <c r="M42" s="15">
        <v>11522.9</v>
      </c>
      <c r="N42" s="50">
        <f t="shared" si="14"/>
        <v>11039.949999999999</v>
      </c>
      <c r="O42" s="21">
        <f t="shared" si="11"/>
        <v>0.57030179713368545</v>
      </c>
      <c r="P42" s="53">
        <f t="shared" si="12"/>
        <v>1.4353057149356722E-2</v>
      </c>
      <c r="Q42" s="55">
        <f t="shared" si="13"/>
        <v>0.57030179713368545</v>
      </c>
    </row>
    <row r="43" spans="1:17" ht="21.75" customHeight="1" x14ac:dyDescent="0.25">
      <c r="A43" s="67" t="s">
        <v>83</v>
      </c>
      <c r="B43" s="26" t="s">
        <v>84</v>
      </c>
      <c r="C43" s="15">
        <v>1500</v>
      </c>
      <c r="D43" s="27">
        <v>-639</v>
      </c>
      <c r="E43" s="15">
        <f t="shared" si="15"/>
        <v>861</v>
      </c>
      <c r="F43" s="15">
        <v>861</v>
      </c>
      <c r="G43" s="15">
        <v>0</v>
      </c>
      <c r="H43" s="15">
        <v>0</v>
      </c>
      <c r="I43" s="15">
        <f>SUM(361+H43)</f>
        <v>361</v>
      </c>
      <c r="J43" s="17">
        <f t="shared" si="16"/>
        <v>500</v>
      </c>
      <c r="K43" s="17">
        <f t="shared" si="17"/>
        <v>500</v>
      </c>
      <c r="L43" s="17">
        <f t="shared" si="8"/>
        <v>0</v>
      </c>
      <c r="M43" s="15">
        <v>0</v>
      </c>
      <c r="N43" s="50">
        <f t="shared" si="14"/>
        <v>361</v>
      </c>
      <c r="O43" s="21">
        <f t="shared" si="11"/>
        <v>0.41927990708478513</v>
      </c>
      <c r="P43" s="53">
        <f t="shared" si="12"/>
        <v>0</v>
      </c>
      <c r="Q43" s="55">
        <f t="shared" si="13"/>
        <v>0.41927990708478513</v>
      </c>
    </row>
    <row r="44" spans="1:17" ht="21.75" customHeight="1" x14ac:dyDescent="0.25">
      <c r="A44" s="67">
        <v>154</v>
      </c>
      <c r="B44" s="26" t="s">
        <v>85</v>
      </c>
      <c r="C44" s="15">
        <v>500</v>
      </c>
      <c r="D44" s="27">
        <v>0</v>
      </c>
      <c r="E44" s="15">
        <f t="shared" si="15"/>
        <v>500</v>
      </c>
      <c r="F44" s="15">
        <v>500</v>
      </c>
      <c r="G44" s="15">
        <v>0</v>
      </c>
      <c r="H44" s="15">
        <v>10</v>
      </c>
      <c r="I44" s="15">
        <f>SUM(177+H44)</f>
        <v>187</v>
      </c>
      <c r="J44" s="17">
        <f t="shared" si="16"/>
        <v>313</v>
      </c>
      <c r="K44" s="17">
        <f t="shared" si="17"/>
        <v>313</v>
      </c>
      <c r="L44" s="17">
        <f t="shared" si="8"/>
        <v>0</v>
      </c>
      <c r="M44" s="15">
        <v>74.5</v>
      </c>
      <c r="N44" s="50">
        <f t="shared" si="14"/>
        <v>112.5</v>
      </c>
      <c r="O44" s="21">
        <f t="shared" si="11"/>
        <v>0.374</v>
      </c>
      <c r="P44" s="53">
        <f t="shared" si="12"/>
        <v>0.02</v>
      </c>
      <c r="Q44" s="55">
        <f t="shared" si="13"/>
        <v>0.374</v>
      </c>
    </row>
    <row r="45" spans="1:17" ht="21.75" customHeight="1" x14ac:dyDescent="0.25">
      <c r="A45" s="67" t="s">
        <v>86</v>
      </c>
      <c r="B45" s="26" t="s">
        <v>87</v>
      </c>
      <c r="C45" s="15">
        <v>13000</v>
      </c>
      <c r="D45" s="15">
        <v>-1277</v>
      </c>
      <c r="E45" s="15">
        <f t="shared" si="15"/>
        <v>11723</v>
      </c>
      <c r="F45" s="15">
        <v>11723</v>
      </c>
      <c r="G45" s="15">
        <v>0</v>
      </c>
      <c r="H45" s="15">
        <v>0</v>
      </c>
      <c r="I45" s="15">
        <f>SUM(7923+H45)</f>
        <v>7923</v>
      </c>
      <c r="J45" s="17">
        <f t="shared" si="16"/>
        <v>3800</v>
      </c>
      <c r="K45" s="17">
        <f t="shared" si="17"/>
        <v>3800</v>
      </c>
      <c r="L45" s="17">
        <f t="shared" si="8"/>
        <v>0</v>
      </c>
      <c r="M45" s="15">
        <v>4281.88</v>
      </c>
      <c r="N45" s="50">
        <f t="shared" si="14"/>
        <v>3641.12</v>
      </c>
      <c r="O45" s="21">
        <f t="shared" si="11"/>
        <v>0.67585089141004862</v>
      </c>
      <c r="P45" s="53">
        <f t="shared" si="12"/>
        <v>0</v>
      </c>
      <c r="Q45" s="55">
        <f t="shared" si="13"/>
        <v>0.67585089141004862</v>
      </c>
    </row>
    <row r="46" spans="1:17" ht="21.75" customHeight="1" x14ac:dyDescent="0.25">
      <c r="A46" s="67">
        <v>165</v>
      </c>
      <c r="B46" s="26" t="s">
        <v>88</v>
      </c>
      <c r="C46" s="15">
        <v>0</v>
      </c>
      <c r="D46" s="15">
        <v>8927</v>
      </c>
      <c r="E46" s="15">
        <f t="shared" si="15"/>
        <v>8927</v>
      </c>
      <c r="F46" s="15">
        <v>8927</v>
      </c>
      <c r="G46" s="15">
        <v>0</v>
      </c>
      <c r="H46" s="15">
        <v>1020</v>
      </c>
      <c r="I46" s="15">
        <f>SUM(3006+H46)</f>
        <v>4026</v>
      </c>
      <c r="J46" s="17">
        <f t="shared" si="16"/>
        <v>4901</v>
      </c>
      <c r="K46" s="17">
        <f t="shared" si="17"/>
        <v>4901</v>
      </c>
      <c r="L46" s="17">
        <f t="shared" si="8"/>
        <v>0</v>
      </c>
      <c r="M46" s="15">
        <v>2754.48</v>
      </c>
      <c r="N46" s="50">
        <f t="shared" si="14"/>
        <v>1271.52</v>
      </c>
      <c r="O46" s="21">
        <f t="shared" si="11"/>
        <v>0.45099137448190879</v>
      </c>
      <c r="P46" s="53">
        <f t="shared" si="12"/>
        <v>0.11426010977932116</v>
      </c>
      <c r="Q46" s="55">
        <f t="shared" si="13"/>
        <v>0.45099137448190879</v>
      </c>
    </row>
    <row r="47" spans="1:17" ht="21.75" customHeight="1" x14ac:dyDescent="0.25">
      <c r="A47" s="67" t="s">
        <v>89</v>
      </c>
      <c r="B47" s="26" t="s">
        <v>90</v>
      </c>
      <c r="C47" s="15">
        <v>20500</v>
      </c>
      <c r="D47" s="27">
        <v>500</v>
      </c>
      <c r="E47" s="15">
        <f t="shared" si="15"/>
        <v>21000</v>
      </c>
      <c r="F47" s="15">
        <v>21000</v>
      </c>
      <c r="G47" s="15">
        <v>0</v>
      </c>
      <c r="H47" s="15">
        <v>1325</v>
      </c>
      <c r="I47" s="15">
        <f>SUM(15431+H47)</f>
        <v>16756</v>
      </c>
      <c r="J47" s="17">
        <f t="shared" si="16"/>
        <v>4244</v>
      </c>
      <c r="K47" s="17">
        <f t="shared" si="17"/>
        <v>4244</v>
      </c>
      <c r="L47" s="17">
        <f t="shared" si="8"/>
        <v>0</v>
      </c>
      <c r="M47" s="15">
        <v>2231.2600000000002</v>
      </c>
      <c r="N47" s="50">
        <f t="shared" si="14"/>
        <v>14524.74</v>
      </c>
      <c r="O47" s="21">
        <f t="shared" si="11"/>
        <v>0.79790476190476189</v>
      </c>
      <c r="P47" s="53">
        <f t="shared" si="12"/>
        <v>6.3095238095238093E-2</v>
      </c>
      <c r="Q47" s="55">
        <f t="shared" si="13"/>
        <v>0.79790476190476189</v>
      </c>
    </row>
    <row r="48" spans="1:17" ht="21.75" customHeight="1" x14ac:dyDescent="0.25">
      <c r="A48" s="67" t="s">
        <v>91</v>
      </c>
      <c r="B48" s="26" t="s">
        <v>92</v>
      </c>
      <c r="C48" s="15">
        <v>15000</v>
      </c>
      <c r="D48" s="15">
        <v>35475</v>
      </c>
      <c r="E48" s="15">
        <f t="shared" si="15"/>
        <v>50475</v>
      </c>
      <c r="F48" s="15">
        <v>50475</v>
      </c>
      <c r="G48" s="15">
        <v>0</v>
      </c>
      <c r="H48" s="15">
        <v>6000</v>
      </c>
      <c r="I48" s="15">
        <f>SUM(12135+H48)</f>
        <v>18135</v>
      </c>
      <c r="J48" s="17">
        <f t="shared" si="16"/>
        <v>32340</v>
      </c>
      <c r="K48" s="17">
        <f t="shared" si="17"/>
        <v>32340</v>
      </c>
      <c r="L48" s="17">
        <f t="shared" si="8"/>
        <v>0</v>
      </c>
      <c r="M48" s="15">
        <v>0</v>
      </c>
      <c r="N48" s="50">
        <f t="shared" si="14"/>
        <v>18135</v>
      </c>
      <c r="O48" s="21">
        <f t="shared" si="11"/>
        <v>0.35928677563150074</v>
      </c>
      <c r="P48" s="53">
        <f t="shared" si="12"/>
        <v>0.1188707280832095</v>
      </c>
      <c r="Q48" s="55">
        <f t="shared" si="13"/>
        <v>0.35928677563150074</v>
      </c>
    </row>
    <row r="49" spans="1:17" ht="21.75" customHeight="1" x14ac:dyDescent="0.25">
      <c r="A49" s="67" t="s">
        <v>93</v>
      </c>
      <c r="B49" s="14" t="s">
        <v>94</v>
      </c>
      <c r="C49" s="15">
        <v>5000</v>
      </c>
      <c r="D49" s="15">
        <v>-3546</v>
      </c>
      <c r="E49" s="15">
        <f t="shared" si="15"/>
        <v>1454</v>
      </c>
      <c r="F49" s="15">
        <v>1454</v>
      </c>
      <c r="G49" s="15">
        <v>0</v>
      </c>
      <c r="H49" s="15">
        <v>20.3</v>
      </c>
      <c r="I49" s="15">
        <f>SUM(1203+H49)</f>
        <v>1223.3</v>
      </c>
      <c r="J49" s="17">
        <f t="shared" si="16"/>
        <v>230.70000000000005</v>
      </c>
      <c r="K49" s="17">
        <f t="shared" si="17"/>
        <v>230.70000000000005</v>
      </c>
      <c r="L49" s="17">
        <f t="shared" si="8"/>
        <v>0</v>
      </c>
      <c r="M49" s="15">
        <v>0</v>
      </c>
      <c r="N49" s="50">
        <f t="shared" si="14"/>
        <v>1223.3</v>
      </c>
      <c r="O49" s="21">
        <f t="shared" si="11"/>
        <v>0.84133425034387888</v>
      </c>
      <c r="P49" s="53">
        <f t="shared" si="12"/>
        <v>1.3961485557083908E-2</v>
      </c>
      <c r="Q49" s="55">
        <f t="shared" si="13"/>
        <v>0.84133425034387888</v>
      </c>
    </row>
    <row r="50" spans="1:17" ht="21.75" customHeight="1" x14ac:dyDescent="0.25">
      <c r="A50" s="67" t="s">
        <v>95</v>
      </c>
      <c r="B50" s="14" t="s">
        <v>96</v>
      </c>
      <c r="C50" s="15">
        <v>3000</v>
      </c>
      <c r="D50" s="15">
        <v>-948</v>
      </c>
      <c r="E50" s="15">
        <f t="shared" si="15"/>
        <v>2052</v>
      </c>
      <c r="F50" s="15">
        <v>2052</v>
      </c>
      <c r="G50" s="15">
        <v>0</v>
      </c>
      <c r="H50" s="15">
        <v>0</v>
      </c>
      <c r="I50" s="15">
        <f>SUM(1302+H50)</f>
        <v>1302</v>
      </c>
      <c r="J50" s="17">
        <f t="shared" si="16"/>
        <v>750</v>
      </c>
      <c r="K50" s="17">
        <f t="shared" si="17"/>
        <v>750</v>
      </c>
      <c r="L50" s="17">
        <f t="shared" si="8"/>
        <v>0</v>
      </c>
      <c r="M50" s="15">
        <v>280.14</v>
      </c>
      <c r="N50" s="50">
        <f t="shared" si="14"/>
        <v>1021.86</v>
      </c>
      <c r="O50" s="21">
        <f t="shared" si="11"/>
        <v>0.63450292397660824</v>
      </c>
      <c r="P50" s="53">
        <f t="shared" si="12"/>
        <v>0</v>
      </c>
      <c r="Q50" s="55">
        <f t="shared" si="13"/>
        <v>0.63450292397660824</v>
      </c>
    </row>
    <row r="51" spans="1:17" ht="21.75" customHeight="1" x14ac:dyDescent="0.25">
      <c r="A51" s="67" t="s">
        <v>97</v>
      </c>
      <c r="B51" s="14" t="s">
        <v>98</v>
      </c>
      <c r="C51" s="15">
        <v>1000</v>
      </c>
      <c r="D51" s="15">
        <v>-759</v>
      </c>
      <c r="E51" s="15">
        <f t="shared" si="15"/>
        <v>241</v>
      </c>
      <c r="F51" s="15">
        <v>241</v>
      </c>
      <c r="G51" s="15">
        <v>0</v>
      </c>
      <c r="H51" s="15">
        <v>0</v>
      </c>
      <c r="I51" s="15">
        <f>SUM(241+H51)</f>
        <v>241</v>
      </c>
      <c r="J51" s="17">
        <f t="shared" si="16"/>
        <v>0</v>
      </c>
      <c r="K51" s="17">
        <f t="shared" si="17"/>
        <v>0</v>
      </c>
      <c r="L51" s="17">
        <f t="shared" si="8"/>
        <v>0</v>
      </c>
      <c r="M51" s="15">
        <v>0</v>
      </c>
      <c r="N51" s="50">
        <f t="shared" si="14"/>
        <v>241</v>
      </c>
      <c r="O51" s="21">
        <f t="shared" si="11"/>
        <v>1</v>
      </c>
      <c r="P51" s="53">
        <f t="shared" si="12"/>
        <v>0</v>
      </c>
      <c r="Q51" s="55">
        <f t="shared" si="13"/>
        <v>1</v>
      </c>
    </row>
    <row r="52" spans="1:17" ht="21.75" customHeight="1" x14ac:dyDescent="0.25">
      <c r="A52" s="67" t="s">
        <v>99</v>
      </c>
      <c r="B52" s="14" t="s">
        <v>100</v>
      </c>
      <c r="C52" s="15">
        <v>3000</v>
      </c>
      <c r="D52" s="15">
        <v>-1278</v>
      </c>
      <c r="E52" s="15">
        <f t="shared" si="15"/>
        <v>1722</v>
      </c>
      <c r="F52" s="15">
        <v>1722</v>
      </c>
      <c r="G52" s="15">
        <v>0</v>
      </c>
      <c r="H52" s="15">
        <v>214</v>
      </c>
      <c r="I52" s="15">
        <f>SUM(722+H52)</f>
        <v>936</v>
      </c>
      <c r="J52" s="17">
        <f t="shared" si="16"/>
        <v>786</v>
      </c>
      <c r="K52" s="17">
        <f t="shared" si="17"/>
        <v>786</v>
      </c>
      <c r="L52" s="17">
        <f t="shared" si="8"/>
        <v>0</v>
      </c>
      <c r="M52" s="15">
        <v>0</v>
      </c>
      <c r="N52" s="50">
        <f t="shared" si="14"/>
        <v>936</v>
      </c>
      <c r="O52" s="21">
        <f t="shared" si="11"/>
        <v>0.54355400696864109</v>
      </c>
      <c r="P52" s="53">
        <f t="shared" si="12"/>
        <v>0.12427409988385599</v>
      </c>
      <c r="Q52" s="55">
        <f t="shared" si="13"/>
        <v>0.54355400696864109</v>
      </c>
    </row>
    <row r="53" spans="1:17" ht="21.75" customHeight="1" x14ac:dyDescent="0.25">
      <c r="A53" s="49" t="s">
        <v>101</v>
      </c>
      <c r="B53" s="14" t="s">
        <v>102</v>
      </c>
      <c r="C53" s="15">
        <v>7500</v>
      </c>
      <c r="D53" s="15">
        <v>-4584</v>
      </c>
      <c r="E53" s="15">
        <f t="shared" si="15"/>
        <v>2916</v>
      </c>
      <c r="F53" s="15">
        <v>2916</v>
      </c>
      <c r="G53" s="15">
        <v>0</v>
      </c>
      <c r="H53" s="15">
        <v>267.5</v>
      </c>
      <c r="I53" s="20">
        <f>SUM(2091+H53)</f>
        <v>2358.5</v>
      </c>
      <c r="J53" s="17">
        <f t="shared" si="16"/>
        <v>557.5</v>
      </c>
      <c r="K53" s="17">
        <f t="shared" si="17"/>
        <v>557.5</v>
      </c>
      <c r="L53" s="17">
        <f t="shared" si="8"/>
        <v>0</v>
      </c>
      <c r="M53" s="15">
        <v>317.33</v>
      </c>
      <c r="N53" s="50">
        <f t="shared" si="14"/>
        <v>2041.17</v>
      </c>
      <c r="O53" s="21">
        <f t="shared" si="11"/>
        <v>0.80881344307270231</v>
      </c>
      <c r="P53" s="53">
        <f t="shared" si="12"/>
        <v>9.1735253772290803E-2</v>
      </c>
      <c r="Q53" s="55">
        <f t="shared" si="13"/>
        <v>0.80881344307270231</v>
      </c>
    </row>
    <row r="54" spans="1:17" ht="21.75" customHeight="1" x14ac:dyDescent="0.25">
      <c r="A54" s="67">
        <v>191</v>
      </c>
      <c r="B54" s="26" t="s">
        <v>103</v>
      </c>
      <c r="C54" s="15">
        <v>0</v>
      </c>
      <c r="D54" s="15">
        <v>0</v>
      </c>
      <c r="E54" s="15">
        <f t="shared" si="15"/>
        <v>0</v>
      </c>
      <c r="F54" s="15">
        <v>0</v>
      </c>
      <c r="G54" s="15">
        <v>0</v>
      </c>
      <c r="H54" s="15">
        <v>0</v>
      </c>
      <c r="I54" s="20">
        <v>0</v>
      </c>
      <c r="J54" s="17">
        <f t="shared" si="16"/>
        <v>0</v>
      </c>
      <c r="K54" s="17">
        <f t="shared" si="17"/>
        <v>0</v>
      </c>
      <c r="L54" s="17">
        <f t="shared" si="8"/>
        <v>0</v>
      </c>
      <c r="M54" s="15">
        <v>0</v>
      </c>
      <c r="N54" s="50">
        <f t="shared" si="14"/>
        <v>0</v>
      </c>
      <c r="O54" s="21">
        <v>0</v>
      </c>
      <c r="P54" s="53">
        <v>0</v>
      </c>
      <c r="Q54" s="55">
        <v>0</v>
      </c>
    </row>
    <row r="55" spans="1:17" ht="21.75" customHeight="1" x14ac:dyDescent="0.25">
      <c r="A55" s="67">
        <v>192</v>
      </c>
      <c r="B55" s="26" t="s">
        <v>104</v>
      </c>
      <c r="C55" s="15">
        <v>0</v>
      </c>
      <c r="D55" s="15">
        <v>4589</v>
      </c>
      <c r="E55" s="15">
        <f t="shared" si="15"/>
        <v>4589</v>
      </c>
      <c r="F55" s="15">
        <v>4589</v>
      </c>
      <c r="G55" s="15">
        <v>0</v>
      </c>
      <c r="H55" s="15">
        <v>0</v>
      </c>
      <c r="I55" s="20">
        <v>4588.99</v>
      </c>
      <c r="J55" s="17">
        <f t="shared" si="16"/>
        <v>1.0000000000218279E-2</v>
      </c>
      <c r="K55" s="17">
        <f t="shared" si="17"/>
        <v>1.0000000000218279E-2</v>
      </c>
      <c r="L55" s="17">
        <f t="shared" si="8"/>
        <v>0</v>
      </c>
      <c r="M55" s="15">
        <v>4587.3999999999996</v>
      </c>
      <c r="N55" s="50">
        <f t="shared" si="14"/>
        <v>1.5900000000001455</v>
      </c>
      <c r="O55" s="21">
        <v>0</v>
      </c>
      <c r="P55" s="53">
        <v>0</v>
      </c>
      <c r="Q55" s="55">
        <v>0</v>
      </c>
    </row>
    <row r="56" spans="1:17" ht="21.75" customHeight="1" x14ac:dyDescent="0.25">
      <c r="A56" s="67">
        <v>193</v>
      </c>
      <c r="B56" s="26" t="s">
        <v>105</v>
      </c>
      <c r="C56" s="15">
        <v>0</v>
      </c>
      <c r="D56" s="15">
        <v>0</v>
      </c>
      <c r="E56" s="15">
        <f t="shared" si="15"/>
        <v>0</v>
      </c>
      <c r="F56" s="15">
        <v>0</v>
      </c>
      <c r="G56" s="15">
        <v>0</v>
      </c>
      <c r="H56" s="15">
        <v>0</v>
      </c>
      <c r="I56" s="20">
        <v>0</v>
      </c>
      <c r="J56" s="17">
        <f t="shared" si="16"/>
        <v>0</v>
      </c>
      <c r="K56" s="17">
        <f t="shared" si="17"/>
        <v>0</v>
      </c>
      <c r="L56" s="17">
        <f t="shared" si="8"/>
        <v>0</v>
      </c>
      <c r="M56" s="15">
        <v>0</v>
      </c>
      <c r="N56" s="50">
        <f t="shared" si="14"/>
        <v>0</v>
      </c>
      <c r="O56" s="21">
        <v>0</v>
      </c>
      <c r="P56" s="53">
        <v>0</v>
      </c>
      <c r="Q56" s="55">
        <v>0</v>
      </c>
    </row>
    <row r="57" spans="1:17" ht="21.75" customHeight="1" x14ac:dyDescent="0.25">
      <c r="A57" s="67">
        <v>194</v>
      </c>
      <c r="B57" s="26" t="s">
        <v>106</v>
      </c>
      <c r="C57" s="15">
        <v>0</v>
      </c>
      <c r="D57" s="15">
        <v>1036</v>
      </c>
      <c r="E57" s="15">
        <f t="shared" si="15"/>
        <v>1036</v>
      </c>
      <c r="F57" s="15">
        <v>1036</v>
      </c>
      <c r="G57" s="15">
        <v>0</v>
      </c>
      <c r="H57" s="15">
        <v>0</v>
      </c>
      <c r="I57" s="20">
        <v>511.06</v>
      </c>
      <c r="J57" s="17">
        <f t="shared" si="16"/>
        <v>524.94000000000005</v>
      </c>
      <c r="K57" s="17">
        <f t="shared" si="17"/>
        <v>524.94000000000005</v>
      </c>
      <c r="L57" s="17">
        <f t="shared" si="8"/>
        <v>0</v>
      </c>
      <c r="M57" s="15">
        <v>0</v>
      </c>
      <c r="N57" s="50">
        <f t="shared" si="14"/>
        <v>511.06</v>
      </c>
      <c r="O57" s="21">
        <v>0</v>
      </c>
      <c r="P57" s="53">
        <v>0</v>
      </c>
      <c r="Q57" s="55">
        <v>0</v>
      </c>
    </row>
    <row r="58" spans="1:17" ht="21.75" customHeight="1" x14ac:dyDescent="0.25">
      <c r="A58" s="67">
        <v>196</v>
      </c>
      <c r="B58" s="26" t="s">
        <v>107</v>
      </c>
      <c r="C58" s="15">
        <v>0</v>
      </c>
      <c r="D58" s="15">
        <v>208</v>
      </c>
      <c r="E58" s="15">
        <f t="shared" si="15"/>
        <v>208</v>
      </c>
      <c r="F58" s="15">
        <v>208</v>
      </c>
      <c r="G58" s="15">
        <v>0</v>
      </c>
      <c r="H58" s="15">
        <v>0</v>
      </c>
      <c r="I58" s="20">
        <v>207.43</v>
      </c>
      <c r="J58" s="17">
        <f t="shared" si="16"/>
        <v>0.56999999999999318</v>
      </c>
      <c r="K58" s="17">
        <f t="shared" si="17"/>
        <v>0.56999999999999318</v>
      </c>
      <c r="L58" s="17">
        <f t="shared" si="8"/>
        <v>0</v>
      </c>
      <c r="M58" s="15">
        <v>207.25</v>
      </c>
      <c r="N58" s="50">
        <f t="shared" si="14"/>
        <v>0.18000000000000682</v>
      </c>
      <c r="O58" s="21">
        <v>0</v>
      </c>
      <c r="P58" s="53">
        <v>0</v>
      </c>
      <c r="Q58" s="55">
        <v>0</v>
      </c>
    </row>
    <row r="59" spans="1:17" ht="21.75" customHeight="1" x14ac:dyDescent="0.25">
      <c r="A59" s="67">
        <v>197</v>
      </c>
      <c r="B59" s="26" t="s">
        <v>108</v>
      </c>
      <c r="C59" s="15">
        <v>0</v>
      </c>
      <c r="D59" s="15">
        <v>44</v>
      </c>
      <c r="E59" s="15">
        <f t="shared" si="15"/>
        <v>44</v>
      </c>
      <c r="F59" s="15">
        <v>44</v>
      </c>
      <c r="G59" s="15">
        <v>0</v>
      </c>
      <c r="H59" s="15">
        <v>0</v>
      </c>
      <c r="I59" s="20">
        <v>43.55</v>
      </c>
      <c r="J59" s="17">
        <f t="shared" si="16"/>
        <v>0.45000000000000284</v>
      </c>
      <c r="K59" s="17">
        <f t="shared" si="17"/>
        <v>0.45000000000000284</v>
      </c>
      <c r="L59" s="17">
        <f t="shared" si="8"/>
        <v>0</v>
      </c>
      <c r="M59" s="15">
        <v>0</v>
      </c>
      <c r="N59" s="50">
        <f t="shared" si="14"/>
        <v>43.55</v>
      </c>
      <c r="O59" s="21">
        <v>0</v>
      </c>
      <c r="P59" s="53">
        <v>0</v>
      </c>
      <c r="Q59" s="55">
        <v>0</v>
      </c>
    </row>
    <row r="60" spans="1:17" ht="21.75" customHeight="1" x14ac:dyDescent="0.25">
      <c r="A60" s="67">
        <v>199</v>
      </c>
      <c r="B60" s="14" t="s">
        <v>109</v>
      </c>
      <c r="C60" s="15">
        <v>0</v>
      </c>
      <c r="D60" s="15">
        <v>50</v>
      </c>
      <c r="E60" s="15">
        <f t="shared" si="15"/>
        <v>50</v>
      </c>
      <c r="F60" s="15">
        <v>50</v>
      </c>
      <c r="G60" s="15">
        <v>0</v>
      </c>
      <c r="H60" s="15">
        <v>0</v>
      </c>
      <c r="I60" s="20">
        <v>49.96</v>
      </c>
      <c r="J60" s="17">
        <f t="shared" si="16"/>
        <v>3.9999999999999147E-2</v>
      </c>
      <c r="K60" s="17">
        <f t="shared" si="17"/>
        <v>3.9999999999999147E-2</v>
      </c>
      <c r="L60" s="17">
        <f t="shared" si="8"/>
        <v>0</v>
      </c>
      <c r="M60" s="15">
        <v>49.95</v>
      </c>
      <c r="N60" s="50">
        <f t="shared" si="14"/>
        <v>9.9999999999980105E-3</v>
      </c>
      <c r="O60" s="21">
        <v>0</v>
      </c>
      <c r="P60" s="53">
        <v>0</v>
      </c>
      <c r="Q60" s="55">
        <v>0</v>
      </c>
    </row>
    <row r="61" spans="1:17" s="31" customFormat="1" ht="22.5" customHeight="1" x14ac:dyDescent="0.25">
      <c r="A61" s="72"/>
      <c r="B61" s="28" t="s">
        <v>110</v>
      </c>
      <c r="C61" s="29">
        <f>SUM(C62:C92)</f>
        <v>95100</v>
      </c>
      <c r="D61" s="29">
        <f>SUM(D62:D98)</f>
        <v>-18657</v>
      </c>
      <c r="E61" s="29">
        <f>SUM(E62:E98)</f>
        <v>76443</v>
      </c>
      <c r="F61" s="29">
        <f>SUM(F62:F98)</f>
        <v>76443</v>
      </c>
      <c r="G61" s="29">
        <v>0</v>
      </c>
      <c r="H61" s="29">
        <f>SUM(H62:H98)</f>
        <v>11276.189999999999</v>
      </c>
      <c r="I61" s="29">
        <f>SUM(I62:I98)</f>
        <v>52898.19000000001</v>
      </c>
      <c r="J61" s="29">
        <f>SUM(F61-I61)</f>
        <v>23544.80999999999</v>
      </c>
      <c r="K61" s="29">
        <f>SUM(E61-G61-I61)</f>
        <v>23544.80999999999</v>
      </c>
      <c r="L61" s="17">
        <f t="shared" si="8"/>
        <v>0</v>
      </c>
      <c r="M61" s="29">
        <f>SUM(M62:M98)</f>
        <v>20010.700000000004</v>
      </c>
      <c r="N61" s="51">
        <f>SUM(I61-M61)</f>
        <v>32887.490000000005</v>
      </c>
      <c r="O61" s="30">
        <f>SUM(I61/F61*100%)</f>
        <v>0.69199521211883375</v>
      </c>
      <c r="P61" s="60">
        <f>SUM(H61/E61)</f>
        <v>0.14751108669204505</v>
      </c>
      <c r="Q61" s="54">
        <f>SUM(I61/E61*100%)</f>
        <v>0.69199521211883375</v>
      </c>
    </row>
    <row r="62" spans="1:17" s="31" customFormat="1" ht="22.5" customHeight="1" x14ac:dyDescent="0.25">
      <c r="A62" s="67" t="s">
        <v>111</v>
      </c>
      <c r="B62" s="14" t="s">
        <v>112</v>
      </c>
      <c r="C62" s="15">
        <v>10000</v>
      </c>
      <c r="D62" s="15">
        <v>3867</v>
      </c>
      <c r="E62" s="15">
        <f>SUM(C62:D62)</f>
        <v>13867</v>
      </c>
      <c r="F62" s="15">
        <v>13867</v>
      </c>
      <c r="G62" s="15">
        <v>0</v>
      </c>
      <c r="H62" s="15">
        <v>1869.73</v>
      </c>
      <c r="I62" s="15">
        <f>SUM(3867+H62)</f>
        <v>5736.73</v>
      </c>
      <c r="J62" s="17">
        <f>F62-I62</f>
        <v>8130.27</v>
      </c>
      <c r="K62" s="17">
        <f>SUM(E62-G62-I62)</f>
        <v>8130.27</v>
      </c>
      <c r="L62" s="17">
        <f t="shared" si="8"/>
        <v>0</v>
      </c>
      <c r="M62" s="15">
        <v>1270.8800000000001</v>
      </c>
      <c r="N62" s="20">
        <f t="shared" ref="N62:N98" si="18">SUM(I62-M62)</f>
        <v>4465.8499999999995</v>
      </c>
      <c r="O62" s="36">
        <f>SUM(I62/F62*100%)</f>
        <v>0.41369654575611159</v>
      </c>
      <c r="P62" s="53">
        <f>SUM(H62/E62)</f>
        <v>0.13483305689767072</v>
      </c>
      <c r="Q62" s="54">
        <f>SUM(I62/E62*100%)</f>
        <v>0.41369654575611159</v>
      </c>
    </row>
    <row r="63" spans="1:17" s="31" customFormat="1" ht="22.5" customHeight="1" x14ac:dyDescent="0.25">
      <c r="A63" s="67" t="s">
        <v>113</v>
      </c>
      <c r="B63" s="14" t="s">
        <v>114</v>
      </c>
      <c r="C63" s="15">
        <v>7000</v>
      </c>
      <c r="D63" s="15">
        <v>-1514</v>
      </c>
      <c r="E63" s="15">
        <f t="shared" ref="E63:E98" si="19">SUM(C63:D63)</f>
        <v>5486</v>
      </c>
      <c r="F63" s="15">
        <v>5486</v>
      </c>
      <c r="G63" s="15">
        <v>0</v>
      </c>
      <c r="H63" s="15">
        <v>71.64</v>
      </c>
      <c r="I63" s="15">
        <f>SUM(3151+H63)</f>
        <v>3222.64</v>
      </c>
      <c r="J63" s="17">
        <f t="shared" ref="J63:J98" si="20">F63-I63</f>
        <v>2263.36</v>
      </c>
      <c r="K63" s="17">
        <f t="shared" ref="K63:K98" si="21">SUM(E63-G63-I63)</f>
        <v>2263.36</v>
      </c>
      <c r="L63" s="17">
        <f t="shared" si="8"/>
        <v>0</v>
      </c>
      <c r="M63" s="15">
        <v>153</v>
      </c>
      <c r="N63" s="20">
        <f t="shared" si="18"/>
        <v>3069.64</v>
      </c>
      <c r="O63" s="36">
        <f>SUM(I63/F63*100%)</f>
        <v>0.58742982136347066</v>
      </c>
      <c r="P63" s="53">
        <f>SUM(H63/E63)</f>
        <v>1.3058694859642728E-2</v>
      </c>
      <c r="Q63" s="54">
        <f>SUM(I63/E63*100%)</f>
        <v>0.58742982136347066</v>
      </c>
    </row>
    <row r="64" spans="1:17" s="31" customFormat="1" ht="22.5" customHeight="1" x14ac:dyDescent="0.25">
      <c r="A64" s="67">
        <v>211</v>
      </c>
      <c r="B64" s="14" t="s">
        <v>115</v>
      </c>
      <c r="C64" s="15">
        <v>0</v>
      </c>
      <c r="D64" s="15">
        <v>3000</v>
      </c>
      <c r="E64" s="15">
        <f t="shared" si="19"/>
        <v>3000</v>
      </c>
      <c r="F64" s="15">
        <v>3000</v>
      </c>
      <c r="G64" s="15">
        <v>0</v>
      </c>
      <c r="H64" s="15">
        <v>2602.2399999999998</v>
      </c>
      <c r="I64" s="15">
        <f>SUM(0+H64)</f>
        <v>2602.2399999999998</v>
      </c>
      <c r="J64" s="17">
        <f t="shared" si="20"/>
        <v>397.76000000000022</v>
      </c>
      <c r="K64" s="17">
        <f t="shared" si="21"/>
        <v>397.76000000000022</v>
      </c>
      <c r="L64" s="17">
        <f t="shared" si="8"/>
        <v>0</v>
      </c>
      <c r="M64" s="15">
        <v>0</v>
      </c>
      <c r="N64" s="20">
        <f t="shared" si="18"/>
        <v>2602.2399999999998</v>
      </c>
      <c r="O64" s="36">
        <v>0</v>
      </c>
      <c r="P64" s="53">
        <v>0</v>
      </c>
      <c r="Q64" s="54">
        <v>0</v>
      </c>
    </row>
    <row r="65" spans="1:17" s="31" customFormat="1" ht="22.5" customHeight="1" x14ac:dyDescent="0.25">
      <c r="A65" s="67">
        <v>212</v>
      </c>
      <c r="B65" s="14" t="s">
        <v>116</v>
      </c>
      <c r="C65" s="15">
        <v>0</v>
      </c>
      <c r="D65" s="15">
        <v>0</v>
      </c>
      <c r="E65" s="15">
        <f t="shared" si="19"/>
        <v>0</v>
      </c>
      <c r="F65" s="15">
        <v>0</v>
      </c>
      <c r="G65" s="15">
        <v>0</v>
      </c>
      <c r="H65" s="15">
        <v>0</v>
      </c>
      <c r="I65" s="15">
        <f>SUM(0+H65)</f>
        <v>0</v>
      </c>
      <c r="J65" s="17">
        <f t="shared" si="20"/>
        <v>0</v>
      </c>
      <c r="K65" s="17">
        <f t="shared" si="21"/>
        <v>0</v>
      </c>
      <c r="L65" s="17">
        <f t="shared" si="8"/>
        <v>0</v>
      </c>
      <c r="M65" s="15">
        <v>0</v>
      </c>
      <c r="N65" s="20">
        <f t="shared" si="18"/>
        <v>0</v>
      </c>
      <c r="O65" s="36">
        <v>0</v>
      </c>
      <c r="P65" s="53">
        <v>0</v>
      </c>
      <c r="Q65" s="54">
        <v>0</v>
      </c>
    </row>
    <row r="66" spans="1:17" s="31" customFormat="1" ht="22.5" customHeight="1" x14ac:dyDescent="0.25">
      <c r="A66" s="67" t="s">
        <v>117</v>
      </c>
      <c r="B66" s="14" t="s">
        <v>118</v>
      </c>
      <c r="C66" s="15">
        <v>8000</v>
      </c>
      <c r="D66" s="27">
        <v>-6517</v>
      </c>
      <c r="E66" s="15">
        <f t="shared" si="19"/>
        <v>1483</v>
      </c>
      <c r="F66" s="15">
        <v>1483</v>
      </c>
      <c r="G66" s="15">
        <v>0</v>
      </c>
      <c r="H66" s="15">
        <v>0</v>
      </c>
      <c r="I66" s="15">
        <f>SUM(1481+H66)</f>
        <v>1481</v>
      </c>
      <c r="J66" s="17">
        <f t="shared" si="20"/>
        <v>2</v>
      </c>
      <c r="K66" s="17">
        <f t="shared" si="21"/>
        <v>2</v>
      </c>
      <c r="L66" s="17">
        <f t="shared" si="8"/>
        <v>0</v>
      </c>
      <c r="M66" s="15">
        <v>347.11</v>
      </c>
      <c r="N66" s="20">
        <f t="shared" si="18"/>
        <v>1133.8899999999999</v>
      </c>
      <c r="O66" s="36">
        <f t="shared" ref="O66:O80" si="22">SUM(I66/F66*100%)</f>
        <v>0.99865138233310857</v>
      </c>
      <c r="P66" s="53">
        <f t="shared" ref="P66:P80" si="23">SUM(H66/E66)</f>
        <v>0</v>
      </c>
      <c r="Q66" s="54">
        <f t="shared" ref="Q66:Q80" si="24">SUM(I66/E66*100%)</f>
        <v>0.99865138233310857</v>
      </c>
    </row>
    <row r="67" spans="1:17" s="31" customFormat="1" ht="22.5" customHeight="1" x14ac:dyDescent="0.25">
      <c r="A67" s="67" t="s">
        <v>119</v>
      </c>
      <c r="B67" s="14" t="s">
        <v>120</v>
      </c>
      <c r="C67" s="15">
        <v>5000</v>
      </c>
      <c r="D67" s="15">
        <v>215</v>
      </c>
      <c r="E67" s="15">
        <f t="shared" si="19"/>
        <v>5215</v>
      </c>
      <c r="F67" s="15">
        <v>5215</v>
      </c>
      <c r="G67" s="15">
        <v>0</v>
      </c>
      <c r="H67" s="19">
        <v>0</v>
      </c>
      <c r="I67" s="15">
        <f>SUM(3069+H67)</f>
        <v>3069</v>
      </c>
      <c r="J67" s="17">
        <f t="shared" si="20"/>
        <v>2146</v>
      </c>
      <c r="K67" s="17">
        <f t="shared" si="21"/>
        <v>2146</v>
      </c>
      <c r="L67" s="17">
        <f t="shared" si="8"/>
        <v>0</v>
      </c>
      <c r="M67" s="15">
        <v>1740.47</v>
      </c>
      <c r="N67" s="20">
        <f t="shared" si="18"/>
        <v>1328.53</v>
      </c>
      <c r="O67" s="36">
        <f t="shared" si="22"/>
        <v>0.58849472674976033</v>
      </c>
      <c r="P67" s="53">
        <f t="shared" si="23"/>
        <v>0</v>
      </c>
      <c r="Q67" s="54">
        <f t="shared" si="24"/>
        <v>0.58849472674976033</v>
      </c>
    </row>
    <row r="68" spans="1:17" s="31" customFormat="1" ht="22.5" customHeight="1" x14ac:dyDescent="0.25">
      <c r="A68" s="67" t="s">
        <v>121</v>
      </c>
      <c r="B68" s="14" t="s">
        <v>122</v>
      </c>
      <c r="C68" s="15">
        <v>6000</v>
      </c>
      <c r="D68" s="15">
        <v>121</v>
      </c>
      <c r="E68" s="15">
        <f t="shared" si="19"/>
        <v>6121</v>
      </c>
      <c r="F68" s="15">
        <v>6121</v>
      </c>
      <c r="G68" s="15">
        <v>0</v>
      </c>
      <c r="H68" s="15">
        <v>0</v>
      </c>
      <c r="I68" s="15">
        <f>SUM(3546+H68)</f>
        <v>3546</v>
      </c>
      <c r="J68" s="17">
        <f t="shared" si="20"/>
        <v>2575</v>
      </c>
      <c r="K68" s="17">
        <f t="shared" si="21"/>
        <v>2575</v>
      </c>
      <c r="L68" s="17">
        <f t="shared" si="8"/>
        <v>0</v>
      </c>
      <c r="M68" s="15">
        <v>1298.76</v>
      </c>
      <c r="N68" s="20">
        <f t="shared" si="18"/>
        <v>2247.2399999999998</v>
      </c>
      <c r="O68" s="36">
        <f t="shared" si="22"/>
        <v>0.57931710504819478</v>
      </c>
      <c r="P68" s="53">
        <f t="shared" si="23"/>
        <v>0</v>
      </c>
      <c r="Q68" s="54">
        <f t="shared" si="24"/>
        <v>0.57931710504819478</v>
      </c>
    </row>
    <row r="69" spans="1:17" s="31" customFormat="1" ht="22.5" customHeight="1" x14ac:dyDescent="0.25">
      <c r="A69" s="67" t="s">
        <v>123</v>
      </c>
      <c r="B69" s="14" t="s">
        <v>124</v>
      </c>
      <c r="C69" s="15">
        <v>2000</v>
      </c>
      <c r="D69" s="15">
        <v>-1143</v>
      </c>
      <c r="E69" s="15">
        <f t="shared" si="19"/>
        <v>857</v>
      </c>
      <c r="F69" s="15">
        <v>857</v>
      </c>
      <c r="G69" s="15">
        <v>0</v>
      </c>
      <c r="H69" s="15">
        <v>17</v>
      </c>
      <c r="I69" s="15">
        <f>SUM(357+H69)</f>
        <v>374</v>
      </c>
      <c r="J69" s="17">
        <f t="shared" si="20"/>
        <v>483</v>
      </c>
      <c r="K69" s="17">
        <f t="shared" si="21"/>
        <v>483</v>
      </c>
      <c r="L69" s="17">
        <f t="shared" si="8"/>
        <v>0</v>
      </c>
      <c r="M69" s="15">
        <v>12.28</v>
      </c>
      <c r="N69" s="20">
        <f t="shared" si="18"/>
        <v>361.72</v>
      </c>
      <c r="O69" s="36">
        <f t="shared" si="22"/>
        <v>0.43640606767794632</v>
      </c>
      <c r="P69" s="53">
        <f t="shared" si="23"/>
        <v>1.9836639439906652E-2</v>
      </c>
      <c r="Q69" s="54">
        <f t="shared" si="24"/>
        <v>0.43640606767794632</v>
      </c>
    </row>
    <row r="70" spans="1:17" s="31" customFormat="1" ht="22.5" customHeight="1" x14ac:dyDescent="0.25">
      <c r="A70" s="67" t="s">
        <v>125</v>
      </c>
      <c r="B70" s="14" t="s">
        <v>126</v>
      </c>
      <c r="C70" s="15">
        <v>4000</v>
      </c>
      <c r="D70" s="27">
        <v>1470</v>
      </c>
      <c r="E70" s="15">
        <f t="shared" si="19"/>
        <v>5470</v>
      </c>
      <c r="F70" s="15">
        <v>5470</v>
      </c>
      <c r="G70" s="15">
        <v>0</v>
      </c>
      <c r="H70" s="15">
        <v>156</v>
      </c>
      <c r="I70" s="15">
        <f>SUM(4165+H70)</f>
        <v>4321</v>
      </c>
      <c r="J70" s="17">
        <f t="shared" si="20"/>
        <v>1149</v>
      </c>
      <c r="K70" s="17">
        <f t="shared" si="21"/>
        <v>1149</v>
      </c>
      <c r="L70" s="17">
        <f t="shared" si="8"/>
        <v>0</v>
      </c>
      <c r="M70" s="15">
        <v>2698.4</v>
      </c>
      <c r="N70" s="20">
        <f t="shared" si="18"/>
        <v>1622.6</v>
      </c>
      <c r="O70" s="36">
        <f t="shared" si="22"/>
        <v>0.78994515539305299</v>
      </c>
      <c r="P70" s="53">
        <f t="shared" si="23"/>
        <v>2.8519195612431443E-2</v>
      </c>
      <c r="Q70" s="54">
        <f t="shared" si="24"/>
        <v>0.78994515539305299</v>
      </c>
    </row>
    <row r="71" spans="1:17" s="31" customFormat="1" ht="22.5" customHeight="1" x14ac:dyDescent="0.25">
      <c r="A71" s="67" t="s">
        <v>127</v>
      </c>
      <c r="B71" s="14" t="s">
        <v>128</v>
      </c>
      <c r="C71" s="15">
        <v>5000</v>
      </c>
      <c r="D71" s="15">
        <v>-2329</v>
      </c>
      <c r="E71" s="15">
        <f t="shared" si="19"/>
        <v>2671</v>
      </c>
      <c r="F71" s="15">
        <v>2671</v>
      </c>
      <c r="G71" s="15">
        <v>0</v>
      </c>
      <c r="H71" s="15">
        <v>0</v>
      </c>
      <c r="I71" s="15">
        <f>SUM(1670+H71)</f>
        <v>1670</v>
      </c>
      <c r="J71" s="17">
        <f t="shared" si="20"/>
        <v>1001</v>
      </c>
      <c r="K71" s="17">
        <f t="shared" si="21"/>
        <v>1001</v>
      </c>
      <c r="L71" s="17">
        <f t="shared" si="8"/>
        <v>0</v>
      </c>
      <c r="M71" s="15">
        <v>719.78</v>
      </c>
      <c r="N71" s="20">
        <f t="shared" si="18"/>
        <v>950.22</v>
      </c>
      <c r="O71" s="36">
        <f t="shared" si="22"/>
        <v>0.62523399475851738</v>
      </c>
      <c r="P71" s="53">
        <f t="shared" si="23"/>
        <v>0</v>
      </c>
      <c r="Q71" s="54">
        <f t="shared" si="24"/>
        <v>0.62523399475851738</v>
      </c>
    </row>
    <row r="72" spans="1:17" s="31" customFormat="1" ht="22.5" customHeight="1" x14ac:dyDescent="0.25">
      <c r="A72" s="67" t="s">
        <v>129</v>
      </c>
      <c r="B72" s="14" t="s">
        <v>130</v>
      </c>
      <c r="C72" s="15">
        <v>3500</v>
      </c>
      <c r="D72" s="15">
        <v>-2715</v>
      </c>
      <c r="E72" s="15">
        <f t="shared" si="19"/>
        <v>785</v>
      </c>
      <c r="F72" s="15">
        <v>785</v>
      </c>
      <c r="G72" s="15">
        <v>0</v>
      </c>
      <c r="H72" s="15">
        <v>0</v>
      </c>
      <c r="I72" s="15">
        <f>SUM(534+H72)</f>
        <v>534</v>
      </c>
      <c r="J72" s="17">
        <f t="shared" si="20"/>
        <v>251</v>
      </c>
      <c r="K72" s="17">
        <f t="shared" si="21"/>
        <v>251</v>
      </c>
      <c r="L72" s="17">
        <f t="shared" si="8"/>
        <v>0</v>
      </c>
      <c r="M72" s="15">
        <v>44.14</v>
      </c>
      <c r="N72" s="20">
        <f t="shared" si="18"/>
        <v>489.86</v>
      </c>
      <c r="O72" s="36">
        <f t="shared" si="22"/>
        <v>0.68025477707006365</v>
      </c>
      <c r="P72" s="53">
        <f t="shared" si="23"/>
        <v>0</v>
      </c>
      <c r="Q72" s="54">
        <f t="shared" si="24"/>
        <v>0.68025477707006365</v>
      </c>
    </row>
    <row r="73" spans="1:17" s="31" customFormat="1" ht="22.5" customHeight="1" x14ac:dyDescent="0.25">
      <c r="A73" s="67" t="s">
        <v>131</v>
      </c>
      <c r="B73" s="14" t="s">
        <v>132</v>
      </c>
      <c r="C73" s="15">
        <v>1500</v>
      </c>
      <c r="D73" s="15">
        <v>-1287</v>
      </c>
      <c r="E73" s="15">
        <f t="shared" si="19"/>
        <v>213</v>
      </c>
      <c r="F73" s="15">
        <v>213</v>
      </c>
      <c r="G73" s="15">
        <v>0</v>
      </c>
      <c r="H73" s="15">
        <v>0</v>
      </c>
      <c r="I73" s="15">
        <f>SUM(213+H73)</f>
        <v>213</v>
      </c>
      <c r="J73" s="17">
        <f t="shared" si="20"/>
        <v>0</v>
      </c>
      <c r="K73" s="17">
        <f t="shared" si="21"/>
        <v>0</v>
      </c>
      <c r="L73" s="17">
        <f t="shared" si="8"/>
        <v>0</v>
      </c>
      <c r="M73" s="15">
        <v>0</v>
      </c>
      <c r="N73" s="20">
        <f t="shared" si="18"/>
        <v>213</v>
      </c>
      <c r="O73" s="36">
        <f t="shared" si="22"/>
        <v>1</v>
      </c>
      <c r="P73" s="53">
        <f t="shared" si="23"/>
        <v>0</v>
      </c>
      <c r="Q73" s="54">
        <f t="shared" si="24"/>
        <v>1</v>
      </c>
    </row>
    <row r="74" spans="1:17" s="31" customFormat="1" ht="22.5" customHeight="1" x14ac:dyDescent="0.25">
      <c r="A74" s="67" t="s">
        <v>133</v>
      </c>
      <c r="B74" s="14" t="s">
        <v>134</v>
      </c>
      <c r="C74" s="15">
        <v>3000</v>
      </c>
      <c r="D74" s="15">
        <v>-2357</v>
      </c>
      <c r="E74" s="15">
        <f t="shared" si="19"/>
        <v>643</v>
      </c>
      <c r="F74" s="15">
        <v>643</v>
      </c>
      <c r="G74" s="15">
        <v>0</v>
      </c>
      <c r="H74" s="15">
        <v>166.81</v>
      </c>
      <c r="I74" s="15">
        <f>SUM(425+H74)</f>
        <v>591.80999999999995</v>
      </c>
      <c r="J74" s="17">
        <f t="shared" si="20"/>
        <v>51.190000000000055</v>
      </c>
      <c r="K74" s="17">
        <f t="shared" si="21"/>
        <v>51.190000000000055</v>
      </c>
      <c r="L74" s="17">
        <f t="shared" ref="L74:L114" si="25">SUM(E74-F74)</f>
        <v>0</v>
      </c>
      <c r="M74" s="15">
        <v>0</v>
      </c>
      <c r="N74" s="20">
        <f t="shared" si="18"/>
        <v>591.80999999999995</v>
      </c>
      <c r="O74" s="36">
        <f t="shared" si="22"/>
        <v>0.92038880248833588</v>
      </c>
      <c r="P74" s="53">
        <f t="shared" si="23"/>
        <v>0.25942457231726285</v>
      </c>
      <c r="Q74" s="54">
        <f t="shared" si="24"/>
        <v>0.92038880248833588</v>
      </c>
    </row>
    <row r="75" spans="1:17" s="31" customFormat="1" ht="22.5" customHeight="1" x14ac:dyDescent="0.25">
      <c r="A75" s="67" t="s">
        <v>135</v>
      </c>
      <c r="B75" s="14" t="s">
        <v>136</v>
      </c>
      <c r="C75" s="15">
        <v>300</v>
      </c>
      <c r="D75" s="15">
        <v>-186</v>
      </c>
      <c r="E75" s="15">
        <f t="shared" si="19"/>
        <v>114</v>
      </c>
      <c r="F75" s="15">
        <v>114</v>
      </c>
      <c r="G75" s="15">
        <v>0</v>
      </c>
      <c r="H75" s="15">
        <v>0</v>
      </c>
      <c r="I75" s="15">
        <f>SUM(113+H75)</f>
        <v>113</v>
      </c>
      <c r="J75" s="17">
        <f t="shared" si="20"/>
        <v>1</v>
      </c>
      <c r="K75" s="17">
        <f t="shared" si="21"/>
        <v>1</v>
      </c>
      <c r="L75" s="17">
        <f t="shared" si="25"/>
        <v>0</v>
      </c>
      <c r="M75" s="15">
        <v>82.37</v>
      </c>
      <c r="N75" s="20">
        <f t="shared" si="18"/>
        <v>30.629999999999995</v>
      </c>
      <c r="O75" s="36">
        <f t="shared" si="22"/>
        <v>0.99122807017543857</v>
      </c>
      <c r="P75" s="53">
        <f t="shared" si="23"/>
        <v>0</v>
      </c>
      <c r="Q75" s="54">
        <f t="shared" si="24"/>
        <v>0.99122807017543857</v>
      </c>
    </row>
    <row r="76" spans="1:17" s="31" customFormat="1" ht="22.5" customHeight="1" x14ac:dyDescent="0.25">
      <c r="A76" s="67" t="s">
        <v>137</v>
      </c>
      <c r="B76" s="14" t="s">
        <v>138</v>
      </c>
      <c r="C76" s="15">
        <v>2000</v>
      </c>
      <c r="D76" s="15">
        <v>-1104</v>
      </c>
      <c r="E76" s="15">
        <f t="shared" si="19"/>
        <v>896</v>
      </c>
      <c r="F76" s="15">
        <v>896</v>
      </c>
      <c r="G76" s="15">
        <v>0</v>
      </c>
      <c r="H76" s="15">
        <v>86.99</v>
      </c>
      <c r="I76" s="15">
        <f>SUM(769+H76)</f>
        <v>855.99</v>
      </c>
      <c r="J76" s="17">
        <f t="shared" si="20"/>
        <v>40.009999999999991</v>
      </c>
      <c r="K76" s="17">
        <f t="shared" si="21"/>
        <v>40.009999999999991</v>
      </c>
      <c r="L76" s="17">
        <f t="shared" si="25"/>
        <v>0</v>
      </c>
      <c r="M76" s="15">
        <v>533.74</v>
      </c>
      <c r="N76" s="20">
        <f t="shared" si="18"/>
        <v>322.25</v>
      </c>
      <c r="O76" s="36">
        <f t="shared" si="22"/>
        <v>0.95534598214285715</v>
      </c>
      <c r="P76" s="53">
        <f t="shared" si="23"/>
        <v>9.7087053571428564E-2</v>
      </c>
      <c r="Q76" s="54">
        <f t="shared" si="24"/>
        <v>0.95534598214285715</v>
      </c>
    </row>
    <row r="77" spans="1:17" s="31" customFormat="1" ht="22.5" customHeight="1" x14ac:dyDescent="0.25">
      <c r="A77" s="67">
        <v>252</v>
      </c>
      <c r="B77" s="14" t="s">
        <v>193</v>
      </c>
      <c r="C77" s="15">
        <v>0</v>
      </c>
      <c r="D77" s="15">
        <v>67</v>
      </c>
      <c r="E77" s="15">
        <f t="shared" si="19"/>
        <v>67</v>
      </c>
      <c r="F77" s="15">
        <v>67</v>
      </c>
      <c r="G77" s="15"/>
      <c r="H77" s="15">
        <v>61.31</v>
      </c>
      <c r="I77" s="15">
        <f>SUM(0+H77)</f>
        <v>61.31</v>
      </c>
      <c r="J77" s="17">
        <f t="shared" si="20"/>
        <v>5.6899999999999977</v>
      </c>
      <c r="K77" s="17">
        <f t="shared" si="21"/>
        <v>5.6899999999999977</v>
      </c>
      <c r="L77" s="17">
        <f t="shared" si="25"/>
        <v>0</v>
      </c>
      <c r="M77" s="15">
        <v>0</v>
      </c>
      <c r="N77" s="20">
        <f t="shared" si="18"/>
        <v>61.31</v>
      </c>
      <c r="O77" s="36">
        <f t="shared" si="22"/>
        <v>0.91507462686567165</v>
      </c>
      <c r="P77" s="53">
        <f t="shared" si="23"/>
        <v>0.91507462686567165</v>
      </c>
      <c r="Q77" s="54">
        <f t="shared" si="24"/>
        <v>0.91507462686567165</v>
      </c>
    </row>
    <row r="78" spans="1:17" s="31" customFormat="1" ht="22.5" customHeight="1" x14ac:dyDescent="0.25">
      <c r="A78" s="67" t="s">
        <v>139</v>
      </c>
      <c r="B78" s="14" t="s">
        <v>140</v>
      </c>
      <c r="C78" s="15">
        <v>1000</v>
      </c>
      <c r="D78" s="15">
        <v>-608</v>
      </c>
      <c r="E78" s="15">
        <f t="shared" si="19"/>
        <v>392</v>
      </c>
      <c r="F78" s="15">
        <v>392</v>
      </c>
      <c r="G78" s="15">
        <v>0</v>
      </c>
      <c r="H78" s="15">
        <v>227.75</v>
      </c>
      <c r="I78" s="15">
        <f>SUM(142+H78)</f>
        <v>369.75</v>
      </c>
      <c r="J78" s="17">
        <f t="shared" si="20"/>
        <v>22.25</v>
      </c>
      <c r="K78" s="17">
        <f t="shared" si="21"/>
        <v>22.25</v>
      </c>
      <c r="L78" s="17">
        <f t="shared" si="25"/>
        <v>0</v>
      </c>
      <c r="M78" s="15">
        <v>0</v>
      </c>
      <c r="N78" s="20">
        <f t="shared" si="18"/>
        <v>369.75</v>
      </c>
      <c r="O78" s="36">
        <f t="shared" si="22"/>
        <v>0.94323979591836737</v>
      </c>
      <c r="P78" s="53">
        <f t="shared" si="23"/>
        <v>0.58099489795918369</v>
      </c>
      <c r="Q78" s="54">
        <f t="shared" si="24"/>
        <v>0.94323979591836737</v>
      </c>
    </row>
    <row r="79" spans="1:17" s="31" customFormat="1" ht="22.5" customHeight="1" x14ac:dyDescent="0.25">
      <c r="A79" s="67" t="s">
        <v>141</v>
      </c>
      <c r="B79" s="14" t="s">
        <v>142</v>
      </c>
      <c r="C79" s="15">
        <v>750</v>
      </c>
      <c r="D79" s="15">
        <v>-151</v>
      </c>
      <c r="E79" s="15">
        <f t="shared" si="19"/>
        <v>599</v>
      </c>
      <c r="F79" s="15">
        <v>599</v>
      </c>
      <c r="G79" s="15">
        <v>0</v>
      </c>
      <c r="H79" s="15">
        <v>26.48</v>
      </c>
      <c r="I79" s="15">
        <f>SUM(522+H79)</f>
        <v>548.48</v>
      </c>
      <c r="J79" s="17">
        <f t="shared" si="20"/>
        <v>50.519999999999982</v>
      </c>
      <c r="K79" s="17">
        <f t="shared" si="21"/>
        <v>50.519999999999982</v>
      </c>
      <c r="L79" s="17">
        <f t="shared" si="25"/>
        <v>0</v>
      </c>
      <c r="M79" s="15">
        <v>427.79</v>
      </c>
      <c r="N79" s="20">
        <f t="shared" si="18"/>
        <v>120.69</v>
      </c>
      <c r="O79" s="36">
        <f t="shared" si="22"/>
        <v>0.91565943238731218</v>
      </c>
      <c r="P79" s="53">
        <f t="shared" si="23"/>
        <v>4.420701168614357E-2</v>
      </c>
      <c r="Q79" s="54">
        <f t="shared" si="24"/>
        <v>0.91565943238731218</v>
      </c>
    </row>
    <row r="80" spans="1:17" s="31" customFormat="1" ht="22.5" customHeight="1" x14ac:dyDescent="0.25">
      <c r="A80" s="67" t="s">
        <v>143</v>
      </c>
      <c r="B80" s="14" t="s">
        <v>144</v>
      </c>
      <c r="C80" s="15">
        <v>750</v>
      </c>
      <c r="D80" s="15">
        <v>-38</v>
      </c>
      <c r="E80" s="15">
        <f t="shared" si="19"/>
        <v>712</v>
      </c>
      <c r="F80" s="15">
        <v>712</v>
      </c>
      <c r="G80" s="15">
        <v>0</v>
      </c>
      <c r="H80" s="15">
        <v>415.54</v>
      </c>
      <c r="I80" s="15">
        <f>SUM(202+H80)</f>
        <v>617.54</v>
      </c>
      <c r="J80" s="17">
        <f t="shared" si="20"/>
        <v>94.460000000000036</v>
      </c>
      <c r="K80" s="17">
        <f t="shared" si="21"/>
        <v>94.460000000000036</v>
      </c>
      <c r="L80" s="17">
        <f t="shared" si="25"/>
        <v>0</v>
      </c>
      <c r="M80" s="15">
        <v>111.17</v>
      </c>
      <c r="N80" s="20">
        <f t="shared" si="18"/>
        <v>506.36999999999995</v>
      </c>
      <c r="O80" s="36">
        <f t="shared" si="22"/>
        <v>0.86733146067415723</v>
      </c>
      <c r="P80" s="53">
        <f t="shared" si="23"/>
        <v>0.58362359550561804</v>
      </c>
      <c r="Q80" s="54">
        <f t="shared" si="24"/>
        <v>0.86733146067415723</v>
      </c>
    </row>
    <row r="81" spans="1:17" s="31" customFormat="1" ht="22.5" customHeight="1" x14ac:dyDescent="0.25">
      <c r="A81" s="67">
        <v>256</v>
      </c>
      <c r="B81" s="26" t="s">
        <v>145</v>
      </c>
      <c r="C81" s="15">
        <v>0</v>
      </c>
      <c r="D81" s="15">
        <v>327</v>
      </c>
      <c r="E81" s="15">
        <f t="shared" si="19"/>
        <v>327</v>
      </c>
      <c r="F81" s="15">
        <v>327</v>
      </c>
      <c r="G81" s="15">
        <v>0</v>
      </c>
      <c r="H81" s="15">
        <v>323.19</v>
      </c>
      <c r="I81" s="15">
        <f>SUM(0+H81)</f>
        <v>323.19</v>
      </c>
      <c r="J81" s="17">
        <f t="shared" si="20"/>
        <v>3.8100000000000023</v>
      </c>
      <c r="K81" s="17">
        <f t="shared" si="21"/>
        <v>3.8100000000000023</v>
      </c>
      <c r="L81" s="17">
        <f t="shared" si="25"/>
        <v>0</v>
      </c>
      <c r="M81" s="15">
        <v>0</v>
      </c>
      <c r="N81" s="20">
        <f t="shared" si="18"/>
        <v>323.19</v>
      </c>
      <c r="O81" s="36">
        <v>0</v>
      </c>
      <c r="P81" s="53">
        <v>0</v>
      </c>
      <c r="Q81" s="54">
        <v>0</v>
      </c>
    </row>
    <row r="82" spans="1:17" s="31" customFormat="1" ht="22.5" customHeight="1" x14ac:dyDescent="0.25">
      <c r="A82" s="67">
        <v>257</v>
      </c>
      <c r="B82" s="26" t="s">
        <v>195</v>
      </c>
      <c r="C82" s="15">
        <v>0</v>
      </c>
      <c r="D82" s="15">
        <v>58</v>
      </c>
      <c r="E82" s="15">
        <f t="shared" si="19"/>
        <v>58</v>
      </c>
      <c r="F82" s="15">
        <v>58</v>
      </c>
      <c r="G82" s="15">
        <v>0</v>
      </c>
      <c r="H82" s="15">
        <v>57.78</v>
      </c>
      <c r="I82" s="15">
        <f>SUM(0+H82)</f>
        <v>57.78</v>
      </c>
      <c r="J82" s="17">
        <f t="shared" si="20"/>
        <v>0.21999999999999886</v>
      </c>
      <c r="K82" s="17">
        <f t="shared" si="21"/>
        <v>0.21999999999999886</v>
      </c>
      <c r="L82" s="17">
        <f t="shared" si="25"/>
        <v>0</v>
      </c>
      <c r="M82" s="15">
        <v>0</v>
      </c>
      <c r="N82" s="20">
        <v>0</v>
      </c>
      <c r="O82" s="36">
        <v>0</v>
      </c>
      <c r="P82" s="53">
        <v>0</v>
      </c>
      <c r="Q82" s="54">
        <v>0</v>
      </c>
    </row>
    <row r="83" spans="1:17" s="31" customFormat="1" ht="22.5" customHeight="1" x14ac:dyDescent="0.25">
      <c r="A83" s="67">
        <v>259</v>
      </c>
      <c r="B83" s="26" t="s">
        <v>146</v>
      </c>
      <c r="C83" s="15">
        <v>1000</v>
      </c>
      <c r="D83" s="15">
        <v>399</v>
      </c>
      <c r="E83" s="15">
        <f t="shared" si="19"/>
        <v>1399</v>
      </c>
      <c r="F83" s="15">
        <v>1399</v>
      </c>
      <c r="G83" s="15">
        <v>0</v>
      </c>
      <c r="H83" s="15">
        <v>995.38</v>
      </c>
      <c r="I83" s="15">
        <f>SUM(403+H83)</f>
        <v>1398.38</v>
      </c>
      <c r="J83" s="17">
        <f t="shared" si="20"/>
        <v>0.61999999999989086</v>
      </c>
      <c r="K83" s="17">
        <f t="shared" si="21"/>
        <v>0.61999999999989086</v>
      </c>
      <c r="L83" s="17">
        <f t="shared" si="25"/>
        <v>0</v>
      </c>
      <c r="M83" s="15">
        <v>268.39999999999998</v>
      </c>
      <c r="N83" s="20">
        <f t="shared" si="18"/>
        <v>1129.98</v>
      </c>
      <c r="O83" s="36">
        <f>SUM(I83/F83*100%)</f>
        <v>0.99955682630450327</v>
      </c>
      <c r="P83" s="53">
        <f>SUM(H83/E83)</f>
        <v>0.71149392423159397</v>
      </c>
      <c r="Q83" s="54">
        <f>SUM(I83/E83*100%)</f>
        <v>0.99955682630450327</v>
      </c>
    </row>
    <row r="84" spans="1:17" s="31" customFormat="1" ht="22.5" customHeight="1" x14ac:dyDescent="0.25">
      <c r="A84" s="67" t="s">
        <v>147</v>
      </c>
      <c r="B84" s="26" t="s">
        <v>148</v>
      </c>
      <c r="C84" s="15">
        <v>1500</v>
      </c>
      <c r="D84" s="15">
        <v>-1287</v>
      </c>
      <c r="E84" s="15">
        <f t="shared" si="19"/>
        <v>213</v>
      </c>
      <c r="F84" s="15">
        <v>213</v>
      </c>
      <c r="G84" s="15">
        <v>0</v>
      </c>
      <c r="H84" s="15">
        <v>0</v>
      </c>
      <c r="I84" s="15">
        <f>SUM(213+H84)</f>
        <v>213</v>
      </c>
      <c r="J84" s="17">
        <f t="shared" si="20"/>
        <v>0</v>
      </c>
      <c r="K84" s="17">
        <f t="shared" si="21"/>
        <v>0</v>
      </c>
      <c r="L84" s="17">
        <f t="shared" si="25"/>
        <v>0</v>
      </c>
      <c r="M84" s="15">
        <v>0</v>
      </c>
      <c r="N84" s="20">
        <f t="shared" si="18"/>
        <v>213</v>
      </c>
      <c r="O84" s="36">
        <f>SUM(I84/F84*100%)</f>
        <v>1</v>
      </c>
      <c r="P84" s="53">
        <f>SUM(H84/E84)</f>
        <v>0</v>
      </c>
      <c r="Q84" s="54">
        <f>SUM(I84/E84*100%)</f>
        <v>1</v>
      </c>
    </row>
    <row r="85" spans="1:17" s="31" customFormat="1" ht="22.5" customHeight="1" x14ac:dyDescent="0.25">
      <c r="A85" s="67">
        <v>262</v>
      </c>
      <c r="B85" s="26" t="s">
        <v>149</v>
      </c>
      <c r="C85" s="15">
        <v>0</v>
      </c>
      <c r="D85" s="15">
        <v>0</v>
      </c>
      <c r="E85" s="15">
        <f t="shared" si="19"/>
        <v>0</v>
      </c>
      <c r="F85" s="15">
        <v>0</v>
      </c>
      <c r="G85" s="15">
        <v>0</v>
      </c>
      <c r="H85" s="15">
        <v>0</v>
      </c>
      <c r="I85" s="15">
        <f>SUM(0+H85)</f>
        <v>0</v>
      </c>
      <c r="J85" s="17">
        <f t="shared" si="20"/>
        <v>0</v>
      </c>
      <c r="K85" s="17">
        <f t="shared" si="21"/>
        <v>0</v>
      </c>
      <c r="L85" s="17">
        <f t="shared" si="25"/>
        <v>0</v>
      </c>
      <c r="M85" s="15">
        <v>0</v>
      </c>
      <c r="N85" s="20">
        <f t="shared" si="18"/>
        <v>0</v>
      </c>
      <c r="O85" s="36">
        <v>0</v>
      </c>
      <c r="P85" s="53">
        <v>0</v>
      </c>
      <c r="Q85" s="54">
        <v>0</v>
      </c>
    </row>
    <row r="86" spans="1:17" s="31" customFormat="1" ht="22.5" customHeight="1" x14ac:dyDescent="0.25">
      <c r="A86" s="67" t="s">
        <v>150</v>
      </c>
      <c r="B86" s="26" t="s">
        <v>151</v>
      </c>
      <c r="C86" s="15">
        <v>5000</v>
      </c>
      <c r="D86" s="15">
        <v>-2192</v>
      </c>
      <c r="E86" s="15">
        <f t="shared" si="19"/>
        <v>2808</v>
      </c>
      <c r="F86" s="15">
        <v>2808</v>
      </c>
      <c r="G86" s="15">
        <v>0</v>
      </c>
      <c r="H86" s="15">
        <v>185.86</v>
      </c>
      <c r="I86" s="15">
        <f>SUM(788+H86)</f>
        <v>973.86</v>
      </c>
      <c r="J86" s="17">
        <f t="shared" si="20"/>
        <v>1834.1399999999999</v>
      </c>
      <c r="K86" s="17">
        <f t="shared" si="21"/>
        <v>1834.1399999999999</v>
      </c>
      <c r="L86" s="17">
        <f t="shared" si="25"/>
        <v>0</v>
      </c>
      <c r="M86" s="15">
        <v>92.02</v>
      </c>
      <c r="N86" s="20">
        <f t="shared" si="18"/>
        <v>881.84</v>
      </c>
      <c r="O86" s="36">
        <f t="shared" ref="O86:O92" si="26">SUM(I86/F86*100%)</f>
        <v>0.34681623931623934</v>
      </c>
      <c r="P86" s="53">
        <f t="shared" ref="P86:P92" si="27">SUM(H86/E86)</f>
        <v>6.6189458689458691E-2</v>
      </c>
      <c r="Q86" s="54">
        <f t="shared" ref="Q86:Q92" si="28">SUM(I86/E86*100%)</f>
        <v>0.34681623931623934</v>
      </c>
    </row>
    <row r="87" spans="1:17" s="31" customFormat="1" ht="22.5" customHeight="1" x14ac:dyDescent="0.25">
      <c r="A87" s="67" t="s">
        <v>152</v>
      </c>
      <c r="B87" s="26" t="s">
        <v>153</v>
      </c>
      <c r="C87" s="15">
        <v>2000</v>
      </c>
      <c r="D87" s="27">
        <v>-1529</v>
      </c>
      <c r="E87" s="15">
        <f t="shared" si="19"/>
        <v>471</v>
      </c>
      <c r="F87" s="15">
        <v>471</v>
      </c>
      <c r="G87" s="15">
        <v>0</v>
      </c>
      <c r="H87" s="15">
        <v>77.040000000000006</v>
      </c>
      <c r="I87" s="15">
        <f>SUM(370+H87)</f>
        <v>447.04</v>
      </c>
      <c r="J87" s="17">
        <f t="shared" si="20"/>
        <v>23.95999999999998</v>
      </c>
      <c r="K87" s="17">
        <f t="shared" si="21"/>
        <v>23.95999999999998</v>
      </c>
      <c r="L87" s="17">
        <f t="shared" si="25"/>
        <v>0</v>
      </c>
      <c r="M87" s="15">
        <v>103.52</v>
      </c>
      <c r="N87" s="20">
        <f t="shared" si="18"/>
        <v>343.52000000000004</v>
      </c>
      <c r="O87" s="36">
        <f t="shared" si="26"/>
        <v>0.94912951167728243</v>
      </c>
      <c r="P87" s="53">
        <f t="shared" si="27"/>
        <v>0.16356687898089173</v>
      </c>
      <c r="Q87" s="54">
        <f t="shared" si="28"/>
        <v>0.94912951167728243</v>
      </c>
    </row>
    <row r="88" spans="1:17" s="31" customFormat="1" ht="22.5" customHeight="1" x14ac:dyDescent="0.25">
      <c r="A88" s="67" t="s">
        <v>154</v>
      </c>
      <c r="B88" s="14" t="s">
        <v>155</v>
      </c>
      <c r="C88" s="15">
        <v>300</v>
      </c>
      <c r="D88" s="15">
        <v>293</v>
      </c>
      <c r="E88" s="15">
        <f t="shared" si="19"/>
        <v>593</v>
      </c>
      <c r="F88" s="15">
        <v>593</v>
      </c>
      <c r="G88" s="15">
        <v>0</v>
      </c>
      <c r="H88" s="15">
        <v>0</v>
      </c>
      <c r="I88" s="15">
        <f>SUM(243+H88)</f>
        <v>243</v>
      </c>
      <c r="J88" s="17">
        <f t="shared" si="20"/>
        <v>350</v>
      </c>
      <c r="K88" s="17">
        <f t="shared" si="21"/>
        <v>350</v>
      </c>
      <c r="L88" s="17">
        <f t="shared" si="25"/>
        <v>0</v>
      </c>
      <c r="M88" s="15">
        <v>0</v>
      </c>
      <c r="N88" s="20">
        <f t="shared" si="18"/>
        <v>243</v>
      </c>
      <c r="O88" s="36">
        <f t="shared" si="26"/>
        <v>0.40978077571669475</v>
      </c>
      <c r="P88" s="53">
        <f t="shared" si="27"/>
        <v>0</v>
      </c>
      <c r="Q88" s="54">
        <f t="shared" si="28"/>
        <v>0.40978077571669475</v>
      </c>
    </row>
    <row r="89" spans="1:17" s="31" customFormat="1" ht="22.5" customHeight="1" x14ac:dyDescent="0.25">
      <c r="A89" s="67" t="s">
        <v>156</v>
      </c>
      <c r="B89" s="14" t="s">
        <v>157</v>
      </c>
      <c r="C89" s="15">
        <v>5000</v>
      </c>
      <c r="D89" s="15">
        <v>-2868</v>
      </c>
      <c r="E89" s="15">
        <f t="shared" si="19"/>
        <v>2132</v>
      </c>
      <c r="F89" s="15">
        <v>2132</v>
      </c>
      <c r="G89" s="15">
        <v>0</v>
      </c>
      <c r="H89" s="15">
        <v>487.73</v>
      </c>
      <c r="I89" s="15">
        <f>SUM(1352+H89)</f>
        <v>1839.73</v>
      </c>
      <c r="J89" s="17">
        <f t="shared" si="20"/>
        <v>292.27</v>
      </c>
      <c r="K89" s="17">
        <f t="shared" si="21"/>
        <v>292.27</v>
      </c>
      <c r="L89" s="17">
        <f t="shared" si="25"/>
        <v>0</v>
      </c>
      <c r="M89" s="15">
        <v>753.99</v>
      </c>
      <c r="N89" s="20">
        <f t="shared" si="18"/>
        <v>1085.74</v>
      </c>
      <c r="O89" s="36">
        <f t="shared" si="26"/>
        <v>0.86291275797373357</v>
      </c>
      <c r="P89" s="53">
        <f t="shared" si="27"/>
        <v>0.22876641651031895</v>
      </c>
      <c r="Q89" s="54">
        <f t="shared" si="28"/>
        <v>0.86291275797373357</v>
      </c>
    </row>
    <row r="90" spans="1:17" s="31" customFormat="1" ht="22.5" customHeight="1" x14ac:dyDescent="0.25">
      <c r="A90" s="67" t="s">
        <v>158</v>
      </c>
      <c r="B90" s="14" t="s">
        <v>159</v>
      </c>
      <c r="C90" s="15">
        <v>12000</v>
      </c>
      <c r="D90" s="27">
        <v>-510</v>
      </c>
      <c r="E90" s="15">
        <f t="shared" si="19"/>
        <v>11490</v>
      </c>
      <c r="F90" s="15">
        <v>11490</v>
      </c>
      <c r="G90" s="15">
        <v>0</v>
      </c>
      <c r="H90" s="15">
        <v>31.58</v>
      </c>
      <c r="I90" s="15">
        <f>SUM(10946+H90)</f>
        <v>10977.58</v>
      </c>
      <c r="J90" s="17">
        <f t="shared" si="20"/>
        <v>512.42000000000007</v>
      </c>
      <c r="K90" s="17">
        <f t="shared" si="21"/>
        <v>512.42000000000007</v>
      </c>
      <c r="L90" s="17">
        <f t="shared" si="25"/>
        <v>0</v>
      </c>
      <c r="M90" s="15">
        <v>8724.74</v>
      </c>
      <c r="N90" s="20">
        <f t="shared" si="18"/>
        <v>2252.84</v>
      </c>
      <c r="O90" s="36">
        <f t="shared" si="26"/>
        <v>0.95540295909486506</v>
      </c>
      <c r="P90" s="53">
        <f t="shared" si="27"/>
        <v>2.7484769364664926E-3</v>
      </c>
      <c r="Q90" s="54">
        <f t="shared" si="28"/>
        <v>0.95540295909486506</v>
      </c>
    </row>
    <row r="91" spans="1:17" s="31" customFormat="1" ht="22.5" customHeight="1" x14ac:dyDescent="0.25">
      <c r="A91" s="67" t="s">
        <v>160</v>
      </c>
      <c r="B91" s="14" t="s">
        <v>161</v>
      </c>
      <c r="C91" s="15">
        <v>2500</v>
      </c>
      <c r="D91" s="15">
        <v>-1687</v>
      </c>
      <c r="E91" s="15">
        <f t="shared" si="19"/>
        <v>813</v>
      </c>
      <c r="F91" s="15">
        <v>813</v>
      </c>
      <c r="G91" s="15">
        <v>0</v>
      </c>
      <c r="H91" s="15">
        <v>294.25</v>
      </c>
      <c r="I91" s="15">
        <f>SUM(412+H91)</f>
        <v>706.25</v>
      </c>
      <c r="J91" s="17">
        <f t="shared" si="20"/>
        <v>106.75</v>
      </c>
      <c r="K91" s="17">
        <f t="shared" si="21"/>
        <v>106.75</v>
      </c>
      <c r="L91" s="17">
        <f t="shared" si="25"/>
        <v>0</v>
      </c>
      <c r="M91" s="15">
        <v>74.040000000000006</v>
      </c>
      <c r="N91" s="20">
        <f t="shared" si="18"/>
        <v>632.21</v>
      </c>
      <c r="O91" s="36">
        <f t="shared" si="26"/>
        <v>0.86869618696186957</v>
      </c>
      <c r="P91" s="53">
        <f t="shared" si="27"/>
        <v>0.36193111931119309</v>
      </c>
      <c r="Q91" s="54">
        <f t="shared" si="28"/>
        <v>0.86869618696186957</v>
      </c>
    </row>
    <row r="92" spans="1:17" s="31" customFormat="1" ht="22.5" customHeight="1" x14ac:dyDescent="0.25">
      <c r="A92" s="67" t="s">
        <v>162</v>
      </c>
      <c r="B92" s="14" t="s">
        <v>163</v>
      </c>
      <c r="C92" s="15">
        <v>6000</v>
      </c>
      <c r="D92" s="15">
        <v>-3524</v>
      </c>
      <c r="E92" s="15">
        <f t="shared" si="19"/>
        <v>2476</v>
      </c>
      <c r="F92" s="15">
        <v>2476</v>
      </c>
      <c r="G92" s="15">
        <v>0</v>
      </c>
      <c r="H92" s="15">
        <v>446.89</v>
      </c>
      <c r="I92" s="15">
        <f>SUM(1418+H92)</f>
        <v>1864.8899999999999</v>
      </c>
      <c r="J92" s="17">
        <f t="shared" si="20"/>
        <v>611.11000000000013</v>
      </c>
      <c r="K92" s="17">
        <f t="shared" si="21"/>
        <v>611.11000000000013</v>
      </c>
      <c r="L92" s="17">
        <f t="shared" si="25"/>
        <v>0</v>
      </c>
      <c r="M92" s="15">
        <v>56.63</v>
      </c>
      <c r="N92" s="20">
        <f t="shared" si="18"/>
        <v>1808.2599999999998</v>
      </c>
      <c r="O92" s="36">
        <f t="shared" si="26"/>
        <v>0.75318659127625198</v>
      </c>
      <c r="P92" s="53">
        <f t="shared" si="27"/>
        <v>0.18048869143780291</v>
      </c>
      <c r="Q92" s="54">
        <f t="shared" si="28"/>
        <v>0.75318659127625198</v>
      </c>
    </row>
    <row r="93" spans="1:17" s="31" customFormat="1" ht="22.5" customHeight="1" x14ac:dyDescent="0.25">
      <c r="A93" s="67">
        <v>291</v>
      </c>
      <c r="B93" s="14" t="s">
        <v>164</v>
      </c>
      <c r="C93" s="15">
        <v>0</v>
      </c>
      <c r="D93" s="15">
        <v>2147</v>
      </c>
      <c r="E93" s="15">
        <f t="shared" si="19"/>
        <v>2147</v>
      </c>
      <c r="F93" s="15">
        <v>2147</v>
      </c>
      <c r="G93" s="15">
        <v>0</v>
      </c>
      <c r="H93" s="15">
        <v>0</v>
      </c>
      <c r="I93" s="15">
        <f>SUM(1181+H93)</f>
        <v>1181</v>
      </c>
      <c r="J93" s="17">
        <f t="shared" si="20"/>
        <v>966</v>
      </c>
      <c r="K93" s="17">
        <f t="shared" si="21"/>
        <v>966</v>
      </c>
      <c r="L93" s="17">
        <f t="shared" si="25"/>
        <v>0</v>
      </c>
      <c r="M93" s="15">
        <v>472</v>
      </c>
      <c r="N93" s="20">
        <f t="shared" si="18"/>
        <v>709</v>
      </c>
      <c r="O93" s="36">
        <v>0</v>
      </c>
      <c r="P93" s="53">
        <v>0</v>
      </c>
      <c r="Q93" s="54">
        <v>0</v>
      </c>
    </row>
    <row r="94" spans="1:17" s="31" customFormat="1" ht="22.5" customHeight="1" x14ac:dyDescent="0.25">
      <c r="A94" s="67">
        <v>293</v>
      </c>
      <c r="B94" s="14" t="s">
        <v>165</v>
      </c>
      <c r="C94" s="15">
        <v>0</v>
      </c>
      <c r="D94" s="15">
        <v>139</v>
      </c>
      <c r="E94" s="15">
        <f t="shared" si="19"/>
        <v>139</v>
      </c>
      <c r="F94" s="15">
        <v>139</v>
      </c>
      <c r="G94" s="15">
        <v>0</v>
      </c>
      <c r="H94" s="15">
        <v>0</v>
      </c>
      <c r="I94" s="15">
        <f>SUM(20+H94)</f>
        <v>20</v>
      </c>
      <c r="J94" s="17">
        <f t="shared" si="20"/>
        <v>119</v>
      </c>
      <c r="K94" s="17">
        <f t="shared" si="21"/>
        <v>119</v>
      </c>
      <c r="L94" s="17">
        <f t="shared" si="25"/>
        <v>0</v>
      </c>
      <c r="M94" s="15">
        <v>0</v>
      </c>
      <c r="N94" s="20">
        <f t="shared" si="18"/>
        <v>20</v>
      </c>
      <c r="O94" s="36">
        <v>0</v>
      </c>
      <c r="P94" s="53">
        <v>0</v>
      </c>
      <c r="Q94" s="54">
        <v>0</v>
      </c>
    </row>
    <row r="95" spans="1:17" s="31" customFormat="1" ht="22.5" customHeight="1" x14ac:dyDescent="0.25">
      <c r="A95" s="67">
        <v>294</v>
      </c>
      <c r="B95" s="14" t="s">
        <v>166</v>
      </c>
      <c r="C95" s="15">
        <v>0</v>
      </c>
      <c r="D95" s="15">
        <v>2690</v>
      </c>
      <c r="E95" s="15">
        <f t="shared" si="19"/>
        <v>2690</v>
      </c>
      <c r="F95" s="15">
        <v>2690</v>
      </c>
      <c r="G95" s="15">
        <v>0</v>
      </c>
      <c r="H95" s="15">
        <v>0</v>
      </c>
      <c r="I95" s="15">
        <f>SUM(14+H95)</f>
        <v>14</v>
      </c>
      <c r="J95" s="17">
        <f t="shared" si="20"/>
        <v>2676</v>
      </c>
      <c r="K95" s="17">
        <f t="shared" si="21"/>
        <v>2676</v>
      </c>
      <c r="L95" s="17">
        <f t="shared" si="25"/>
        <v>0</v>
      </c>
      <c r="M95" s="15">
        <v>0</v>
      </c>
      <c r="N95" s="20">
        <f t="shared" si="18"/>
        <v>14</v>
      </c>
      <c r="O95" s="36">
        <v>0</v>
      </c>
      <c r="P95" s="53">
        <v>0</v>
      </c>
      <c r="Q95" s="54">
        <v>0</v>
      </c>
    </row>
    <row r="96" spans="1:17" s="31" customFormat="1" ht="22.5" customHeight="1" x14ac:dyDescent="0.25">
      <c r="A96" s="67">
        <v>295</v>
      </c>
      <c r="B96" s="14" t="s">
        <v>167</v>
      </c>
      <c r="C96" s="15">
        <v>0</v>
      </c>
      <c r="D96" s="15">
        <v>70</v>
      </c>
      <c r="E96" s="15">
        <f t="shared" si="19"/>
        <v>70</v>
      </c>
      <c r="F96" s="15">
        <v>70</v>
      </c>
      <c r="G96" s="15">
        <v>0</v>
      </c>
      <c r="H96" s="15">
        <v>2675</v>
      </c>
      <c r="I96" s="15">
        <f>SUM(10+H96)</f>
        <v>2685</v>
      </c>
      <c r="J96" s="17">
        <f t="shared" si="20"/>
        <v>-2615</v>
      </c>
      <c r="K96" s="17">
        <f t="shared" si="21"/>
        <v>-2615</v>
      </c>
      <c r="L96" s="17">
        <f t="shared" si="25"/>
        <v>0</v>
      </c>
      <c r="M96" s="15">
        <v>0</v>
      </c>
      <c r="N96" s="20">
        <f t="shared" si="18"/>
        <v>2685</v>
      </c>
      <c r="O96" s="36">
        <v>0</v>
      </c>
      <c r="P96" s="53">
        <v>0</v>
      </c>
      <c r="Q96" s="54">
        <v>0</v>
      </c>
    </row>
    <row r="97" spans="1:17" s="31" customFormat="1" ht="22.5" customHeight="1" x14ac:dyDescent="0.25">
      <c r="A97" s="67">
        <v>296</v>
      </c>
      <c r="B97" s="14" t="s">
        <v>168</v>
      </c>
      <c r="C97" s="15">
        <v>0</v>
      </c>
      <c r="D97" s="15">
        <v>26</v>
      </c>
      <c r="E97" s="15">
        <f t="shared" si="19"/>
        <v>26</v>
      </c>
      <c r="F97" s="15">
        <v>26</v>
      </c>
      <c r="G97" s="15">
        <v>0</v>
      </c>
      <c r="H97" s="15">
        <v>0</v>
      </c>
      <c r="I97" s="15">
        <f>SUM(26+H97)</f>
        <v>26</v>
      </c>
      <c r="J97" s="17">
        <f t="shared" si="20"/>
        <v>0</v>
      </c>
      <c r="K97" s="17">
        <f t="shared" si="21"/>
        <v>0</v>
      </c>
      <c r="L97" s="17">
        <f t="shared" si="25"/>
        <v>0</v>
      </c>
      <c r="M97" s="15">
        <v>25.47</v>
      </c>
      <c r="N97" s="20">
        <f t="shared" si="18"/>
        <v>0.53000000000000114</v>
      </c>
      <c r="O97" s="36">
        <v>0</v>
      </c>
      <c r="P97" s="53">
        <v>0</v>
      </c>
      <c r="Q97" s="54">
        <v>0</v>
      </c>
    </row>
    <row r="98" spans="1:17" s="31" customFormat="1" ht="22.5" customHeight="1" x14ac:dyDescent="0.25">
      <c r="A98" s="67">
        <v>298</v>
      </c>
      <c r="B98" s="14" t="s">
        <v>169</v>
      </c>
      <c r="C98" s="15">
        <v>0</v>
      </c>
      <c r="D98" s="15">
        <v>0</v>
      </c>
      <c r="E98" s="15">
        <f t="shared" si="19"/>
        <v>0</v>
      </c>
      <c r="F98" s="15">
        <v>0</v>
      </c>
      <c r="G98" s="15">
        <v>0</v>
      </c>
      <c r="H98" s="15">
        <v>0</v>
      </c>
      <c r="I98" s="15">
        <f>SUM(0+H98)</f>
        <v>0</v>
      </c>
      <c r="J98" s="17">
        <f t="shared" si="20"/>
        <v>0</v>
      </c>
      <c r="K98" s="17">
        <f t="shared" si="21"/>
        <v>0</v>
      </c>
      <c r="L98" s="17">
        <f t="shared" si="25"/>
        <v>0</v>
      </c>
      <c r="M98" s="15">
        <v>0</v>
      </c>
      <c r="N98" s="20">
        <f t="shared" si="18"/>
        <v>0</v>
      </c>
      <c r="O98" s="36">
        <v>0</v>
      </c>
      <c r="P98" s="53">
        <v>0</v>
      </c>
      <c r="Q98" s="54">
        <v>0</v>
      </c>
    </row>
    <row r="99" spans="1:17" s="31" customFormat="1" ht="22.5" customHeight="1" x14ac:dyDescent="0.25">
      <c r="A99" s="72"/>
      <c r="B99" s="28" t="s">
        <v>170</v>
      </c>
      <c r="C99" s="29">
        <f>SUM(C100:C106)</f>
        <v>77900</v>
      </c>
      <c r="D99" s="29">
        <f>SUM(D100:D108)</f>
        <v>-2335</v>
      </c>
      <c r="E99" s="80">
        <f>SUM(E100:E108)</f>
        <v>75565</v>
      </c>
      <c r="F99" s="80">
        <f>SUM(F100:F108)</f>
        <v>75565</v>
      </c>
      <c r="G99" s="29">
        <v>0</v>
      </c>
      <c r="H99" s="29">
        <f>SUM(H100:H108)</f>
        <v>10551.78</v>
      </c>
      <c r="I99" s="29">
        <f>SUM(I100:I108)</f>
        <v>66385.78</v>
      </c>
      <c r="J99" s="29">
        <f>SUM(F99-I99)</f>
        <v>9179.2200000000012</v>
      </c>
      <c r="K99" s="29">
        <f>SUM(E99-G99-I99)</f>
        <v>9179.2200000000012</v>
      </c>
      <c r="L99" s="9">
        <f t="shared" si="25"/>
        <v>0</v>
      </c>
      <c r="M99" s="29">
        <f>SUM(M100:M108)</f>
        <v>38914.789999999994</v>
      </c>
      <c r="N99" s="51">
        <f t="shared" ref="N99:N114" si="29">SUM(I99-M99)</f>
        <v>27470.990000000005</v>
      </c>
      <c r="O99" s="30">
        <f>SUM(I99/F99*100%)</f>
        <v>0.87852550784093164</v>
      </c>
      <c r="P99" s="60">
        <f>SUM(H99/E99)</f>
        <v>0.1396384569575862</v>
      </c>
      <c r="Q99" s="54">
        <f>SUM(I99/E99*100%)</f>
        <v>0.87852550784093164</v>
      </c>
    </row>
    <row r="100" spans="1:17" s="31" customFormat="1" ht="22.5" customHeight="1" x14ac:dyDescent="0.25">
      <c r="A100" s="66" t="s">
        <v>171</v>
      </c>
      <c r="B100" s="32" t="s">
        <v>172</v>
      </c>
      <c r="C100" s="15">
        <v>15000</v>
      </c>
      <c r="D100" s="15">
        <v>-11345</v>
      </c>
      <c r="E100" s="15">
        <f>SUM(C100:D100)</f>
        <v>3655</v>
      </c>
      <c r="F100" s="15">
        <v>3655</v>
      </c>
      <c r="G100" s="15">
        <v>0</v>
      </c>
      <c r="H100" s="15">
        <v>401.2</v>
      </c>
      <c r="I100" s="15">
        <f>SUM(1427+H100)</f>
        <v>1828.2</v>
      </c>
      <c r="J100" s="17">
        <f>F100-I100</f>
        <v>1826.8</v>
      </c>
      <c r="K100" s="17">
        <f>SUM(E100-G100-I100)</f>
        <v>1826.8</v>
      </c>
      <c r="L100" s="17">
        <f t="shared" si="25"/>
        <v>0</v>
      </c>
      <c r="M100" s="15">
        <v>0</v>
      </c>
      <c r="N100" s="20">
        <f t="shared" si="29"/>
        <v>1828.2</v>
      </c>
      <c r="O100" s="36">
        <v>0</v>
      </c>
      <c r="P100" s="53">
        <v>0</v>
      </c>
      <c r="Q100" s="54">
        <v>0</v>
      </c>
    </row>
    <row r="101" spans="1:17" s="31" customFormat="1" ht="22.5" customHeight="1" x14ac:dyDescent="0.25">
      <c r="A101" s="66">
        <v>314</v>
      </c>
      <c r="B101" s="32" t="s">
        <v>173</v>
      </c>
      <c r="C101" s="15">
        <v>26000</v>
      </c>
      <c r="D101" s="15">
        <v>-24145</v>
      </c>
      <c r="E101" s="15">
        <f t="shared" ref="E101:E108" si="30">SUM(C101:D101)</f>
        <v>1855</v>
      </c>
      <c r="F101" s="15">
        <v>1855</v>
      </c>
      <c r="G101" s="15">
        <v>0</v>
      </c>
      <c r="H101" s="15">
        <v>0</v>
      </c>
      <c r="I101" s="15">
        <f>SUM(1855+H101)</f>
        <v>1855</v>
      </c>
      <c r="J101" s="17">
        <f t="shared" ref="J101:J108" si="31">F101-I101</f>
        <v>0</v>
      </c>
      <c r="K101" s="17">
        <f t="shared" ref="K101:K108" si="32">SUM(E101-G101-I101)</f>
        <v>0</v>
      </c>
      <c r="L101" s="17">
        <f t="shared" si="25"/>
        <v>0</v>
      </c>
      <c r="M101" s="15">
        <v>0</v>
      </c>
      <c r="N101" s="20">
        <f t="shared" si="29"/>
        <v>1855</v>
      </c>
      <c r="O101" s="36">
        <v>0</v>
      </c>
      <c r="P101" s="53">
        <v>0</v>
      </c>
      <c r="Q101" s="54">
        <v>0</v>
      </c>
    </row>
    <row r="102" spans="1:17" s="31" customFormat="1" ht="22.5" customHeight="1" x14ac:dyDescent="0.25">
      <c r="A102" s="66">
        <v>320</v>
      </c>
      <c r="B102" s="32" t="s">
        <v>174</v>
      </c>
      <c r="C102" s="15">
        <v>400</v>
      </c>
      <c r="D102" s="15">
        <v>4442</v>
      </c>
      <c r="E102" s="15">
        <f t="shared" si="30"/>
        <v>4842</v>
      </c>
      <c r="F102" s="15">
        <v>4842</v>
      </c>
      <c r="G102" s="15">
        <v>0</v>
      </c>
      <c r="H102" s="15">
        <v>4783.54</v>
      </c>
      <c r="I102" s="15">
        <f>SUM(57+H102)</f>
        <v>4840.54</v>
      </c>
      <c r="J102" s="17">
        <f t="shared" si="31"/>
        <v>1.4600000000000364</v>
      </c>
      <c r="K102" s="17">
        <f t="shared" si="32"/>
        <v>1.4600000000000364</v>
      </c>
      <c r="L102" s="17">
        <f t="shared" si="25"/>
        <v>0</v>
      </c>
      <c r="M102" s="15">
        <v>0</v>
      </c>
      <c r="N102" s="20">
        <f t="shared" si="29"/>
        <v>4840.54</v>
      </c>
      <c r="O102" s="36">
        <v>0</v>
      </c>
      <c r="P102" s="53">
        <v>0</v>
      </c>
      <c r="Q102" s="54">
        <v>0</v>
      </c>
    </row>
    <row r="103" spans="1:17" s="31" customFormat="1" ht="22.5" customHeight="1" x14ac:dyDescent="0.25">
      <c r="A103" s="66" t="s">
        <v>175</v>
      </c>
      <c r="B103" s="32" t="s">
        <v>176</v>
      </c>
      <c r="C103" s="15">
        <v>2000</v>
      </c>
      <c r="D103" s="15">
        <v>-1714</v>
      </c>
      <c r="E103" s="15">
        <f t="shared" si="30"/>
        <v>286</v>
      </c>
      <c r="F103" s="15">
        <v>286</v>
      </c>
      <c r="G103" s="15">
        <v>0</v>
      </c>
      <c r="H103" s="15">
        <v>0</v>
      </c>
      <c r="I103" s="15">
        <f>SUM(285+H103)</f>
        <v>285</v>
      </c>
      <c r="J103" s="17">
        <f t="shared" si="31"/>
        <v>1</v>
      </c>
      <c r="K103" s="17">
        <f t="shared" si="32"/>
        <v>1</v>
      </c>
      <c r="L103" s="17">
        <f t="shared" si="25"/>
        <v>0</v>
      </c>
      <c r="M103" s="15">
        <v>0</v>
      </c>
      <c r="N103" s="20">
        <f t="shared" si="29"/>
        <v>285</v>
      </c>
      <c r="O103" s="36">
        <f>SUM(I103/F103*100%)</f>
        <v>0.99650349650349646</v>
      </c>
      <c r="P103" s="53">
        <f>SUM(H103/E103)</f>
        <v>0</v>
      </c>
      <c r="Q103" s="57">
        <f>SUM(I103/F103*100%)</f>
        <v>0.99650349650349646</v>
      </c>
    </row>
    <row r="104" spans="1:17" s="31" customFormat="1" ht="22.5" customHeight="1" x14ac:dyDescent="0.25">
      <c r="A104" s="66" t="s">
        <v>177</v>
      </c>
      <c r="B104" s="32" t="s">
        <v>178</v>
      </c>
      <c r="C104" s="15">
        <v>7000</v>
      </c>
      <c r="D104" s="15">
        <v>-1634</v>
      </c>
      <c r="E104" s="15">
        <f t="shared" si="30"/>
        <v>5366</v>
      </c>
      <c r="F104" s="15">
        <v>5366</v>
      </c>
      <c r="G104" s="15">
        <v>0</v>
      </c>
      <c r="H104" s="15">
        <v>688.59</v>
      </c>
      <c r="I104" s="15">
        <f>SUM(4656+H104)</f>
        <v>5344.59</v>
      </c>
      <c r="J104" s="17">
        <f t="shared" si="31"/>
        <v>21.409999999999854</v>
      </c>
      <c r="K104" s="17">
        <f t="shared" si="32"/>
        <v>21.409999999999854</v>
      </c>
      <c r="L104" s="17">
        <f t="shared" si="25"/>
        <v>0</v>
      </c>
      <c r="M104" s="15">
        <v>208.75</v>
      </c>
      <c r="N104" s="20">
        <f t="shared" si="29"/>
        <v>5135.84</v>
      </c>
      <c r="O104" s="36">
        <f>SUM(I104/F104*100%)</f>
        <v>0.99601006336190834</v>
      </c>
      <c r="P104" s="53">
        <f>SUM(H104/E104)</f>
        <v>0.12832463660082</v>
      </c>
      <c r="Q104" s="57">
        <f>SUM(I104/F104*100%)</f>
        <v>0.99601006336190834</v>
      </c>
    </row>
    <row r="105" spans="1:17" s="31" customFormat="1" ht="22.5" customHeight="1" x14ac:dyDescent="0.25">
      <c r="A105" s="66" t="s">
        <v>179</v>
      </c>
      <c r="B105" s="32" t="s">
        <v>170</v>
      </c>
      <c r="C105" s="15">
        <v>7500</v>
      </c>
      <c r="D105" s="15">
        <v>831</v>
      </c>
      <c r="E105" s="15">
        <f t="shared" si="30"/>
        <v>8331</v>
      </c>
      <c r="F105" s="15">
        <v>8331</v>
      </c>
      <c r="G105" s="15">
        <v>0</v>
      </c>
      <c r="H105" s="15">
        <v>3910.85</v>
      </c>
      <c r="I105" s="15">
        <f>SUM(4359+H105)</f>
        <v>8269.85</v>
      </c>
      <c r="J105" s="17">
        <f t="shared" si="31"/>
        <v>61.149999999999636</v>
      </c>
      <c r="K105" s="17">
        <f t="shared" si="32"/>
        <v>61.149999999999636</v>
      </c>
      <c r="L105" s="17">
        <f t="shared" si="25"/>
        <v>0</v>
      </c>
      <c r="M105" s="15">
        <v>3574.77</v>
      </c>
      <c r="N105" s="20">
        <f t="shared" si="29"/>
        <v>4695.08</v>
      </c>
      <c r="O105" s="36">
        <f>SUM(I105/F105*100%)</f>
        <v>0.99265994478453967</v>
      </c>
      <c r="P105" s="53">
        <f>SUM(H105/E105)</f>
        <v>0.46943344136358178</v>
      </c>
      <c r="Q105" s="57">
        <f>SUM(I105/F105*100%)</f>
        <v>0.99265994478453967</v>
      </c>
    </row>
    <row r="106" spans="1:17" s="31" customFormat="1" ht="22.5" customHeight="1" x14ac:dyDescent="0.25">
      <c r="A106" s="66">
        <v>380</v>
      </c>
      <c r="B106" s="32" t="s">
        <v>180</v>
      </c>
      <c r="C106" s="15">
        <v>20000</v>
      </c>
      <c r="D106" s="27">
        <v>-3904</v>
      </c>
      <c r="E106" s="15">
        <f t="shared" si="30"/>
        <v>16096</v>
      </c>
      <c r="F106" s="15">
        <v>16096</v>
      </c>
      <c r="G106" s="15">
        <v>0</v>
      </c>
      <c r="H106" s="15">
        <v>767.6</v>
      </c>
      <c r="I106" s="15">
        <f>SUM(8062+H106)</f>
        <v>8829.6</v>
      </c>
      <c r="J106" s="17">
        <f t="shared" si="31"/>
        <v>7266.4</v>
      </c>
      <c r="K106" s="17">
        <f t="shared" si="32"/>
        <v>7266.4</v>
      </c>
      <c r="L106" s="17">
        <f t="shared" si="25"/>
        <v>0</v>
      </c>
      <c r="M106" s="15">
        <v>0</v>
      </c>
      <c r="N106" s="20">
        <f t="shared" si="29"/>
        <v>8829.6</v>
      </c>
      <c r="O106" s="36">
        <f>SUM(I106/F106*100%)</f>
        <v>0.54855864811133204</v>
      </c>
      <c r="P106" s="53">
        <f>SUM(H106/E106)</f>
        <v>4.7688866799204775E-2</v>
      </c>
      <c r="Q106" s="57">
        <f>SUM(I106/F106*100%)</f>
        <v>0.54855864811133204</v>
      </c>
    </row>
    <row r="107" spans="1:17" s="31" customFormat="1" ht="22.5" customHeight="1" x14ac:dyDescent="0.25">
      <c r="A107" s="66">
        <v>392</v>
      </c>
      <c r="B107" s="32" t="s">
        <v>181</v>
      </c>
      <c r="C107" s="15">
        <v>0</v>
      </c>
      <c r="D107" s="27">
        <v>33063</v>
      </c>
      <c r="E107" s="15">
        <f t="shared" si="30"/>
        <v>33063</v>
      </c>
      <c r="F107" s="15">
        <v>33063</v>
      </c>
      <c r="G107" s="15">
        <v>0</v>
      </c>
      <c r="H107" s="15">
        <v>0</v>
      </c>
      <c r="I107" s="15">
        <f>SUM(33063+H107)</f>
        <v>33063</v>
      </c>
      <c r="J107" s="17">
        <f t="shared" si="31"/>
        <v>0</v>
      </c>
      <c r="K107" s="17">
        <f t="shared" si="32"/>
        <v>0</v>
      </c>
      <c r="L107" s="17">
        <f t="shared" si="25"/>
        <v>0</v>
      </c>
      <c r="M107" s="15">
        <v>33063</v>
      </c>
      <c r="N107" s="20">
        <f t="shared" si="29"/>
        <v>0</v>
      </c>
      <c r="O107" s="36">
        <f>SUM(I107/F107*100%)</f>
        <v>1</v>
      </c>
      <c r="P107" s="53">
        <f>SUM(H107/E107)</f>
        <v>0</v>
      </c>
      <c r="Q107" s="57">
        <f>SUM(I107/F107*100%)</f>
        <v>1</v>
      </c>
    </row>
    <row r="108" spans="1:17" s="31" customFormat="1" ht="22.5" customHeight="1" x14ac:dyDescent="0.25">
      <c r="A108" s="66">
        <v>396</v>
      </c>
      <c r="B108" s="32" t="s">
        <v>182</v>
      </c>
      <c r="C108" s="15">
        <v>0</v>
      </c>
      <c r="D108" s="27">
        <v>2071</v>
      </c>
      <c r="E108" s="15">
        <f t="shared" si="30"/>
        <v>2071</v>
      </c>
      <c r="F108" s="15">
        <v>2071</v>
      </c>
      <c r="G108" s="15">
        <v>0</v>
      </c>
      <c r="H108" s="15">
        <v>0</v>
      </c>
      <c r="I108" s="15">
        <f>SUM(2070+H108)</f>
        <v>2070</v>
      </c>
      <c r="J108" s="17">
        <f t="shared" si="31"/>
        <v>1</v>
      </c>
      <c r="K108" s="17">
        <f t="shared" si="32"/>
        <v>1</v>
      </c>
      <c r="L108" s="17">
        <f t="shared" si="25"/>
        <v>0</v>
      </c>
      <c r="M108" s="15">
        <v>2068.27</v>
      </c>
      <c r="N108" s="20">
        <f t="shared" si="29"/>
        <v>1.7300000000000182</v>
      </c>
      <c r="O108" s="36">
        <v>0</v>
      </c>
      <c r="P108" s="53">
        <v>0</v>
      </c>
      <c r="Q108" s="57">
        <v>0</v>
      </c>
    </row>
    <row r="109" spans="1:17" s="31" customFormat="1" ht="22.5" customHeight="1" x14ac:dyDescent="0.25">
      <c r="A109" s="72"/>
      <c r="B109" s="28" t="s">
        <v>183</v>
      </c>
      <c r="C109" s="29">
        <f>SUM(C110:C114)</f>
        <v>176700</v>
      </c>
      <c r="D109" s="29">
        <f>SUM(D110:D114)</f>
        <v>-36579</v>
      </c>
      <c r="E109" s="29">
        <f>SUM(E110:E114)</f>
        <v>140121</v>
      </c>
      <c r="F109" s="29">
        <f>SUM(F110:F114)</f>
        <v>140121</v>
      </c>
      <c r="G109" s="29">
        <v>0</v>
      </c>
      <c r="H109" s="29">
        <f>SUM(H110:H114)</f>
        <v>6380</v>
      </c>
      <c r="I109" s="33">
        <f>SUM(I110:I114)</f>
        <v>115170.67</v>
      </c>
      <c r="J109" s="29">
        <f>SUM(F109-I109)</f>
        <v>24950.33</v>
      </c>
      <c r="K109" s="29">
        <f>SUM(E109-G109-I109)</f>
        <v>24950.33</v>
      </c>
      <c r="L109" s="17">
        <f t="shared" si="25"/>
        <v>0</v>
      </c>
      <c r="M109" s="29">
        <f>SUM(M110:M114)</f>
        <v>53819.689999999995</v>
      </c>
      <c r="N109" s="51">
        <f t="shared" si="29"/>
        <v>61350.98</v>
      </c>
      <c r="O109" s="30">
        <f>SUM(I109/F109*100%)</f>
        <v>0.82193725423027242</v>
      </c>
      <c r="P109" s="60">
        <f>SUM(H109/E109)</f>
        <v>4.5532075848730737E-2</v>
      </c>
      <c r="Q109" s="54">
        <f>SUM(I109/F109*100%)</f>
        <v>0.82193725423027242</v>
      </c>
    </row>
    <row r="110" spans="1:17" s="31" customFormat="1" ht="22.5" customHeight="1" x14ac:dyDescent="0.25">
      <c r="A110" s="67" t="s">
        <v>184</v>
      </c>
      <c r="B110" s="14" t="s">
        <v>185</v>
      </c>
      <c r="C110" s="15">
        <v>15000</v>
      </c>
      <c r="D110" s="15">
        <v>3388</v>
      </c>
      <c r="E110" s="18">
        <f>SUM(C110:D110)</f>
        <v>18388</v>
      </c>
      <c r="F110" s="15">
        <v>18388</v>
      </c>
      <c r="G110" s="15">
        <v>0</v>
      </c>
      <c r="H110" s="15">
        <v>6380</v>
      </c>
      <c r="I110" s="15">
        <f>SUM(8758+H110)</f>
        <v>15138</v>
      </c>
      <c r="J110" s="17">
        <f>F110-I110</f>
        <v>3250</v>
      </c>
      <c r="K110" s="17">
        <f>SUM(E110-G110-I110)</f>
        <v>3250</v>
      </c>
      <c r="L110" s="17">
        <f t="shared" si="25"/>
        <v>0</v>
      </c>
      <c r="M110" s="15">
        <v>3787.02</v>
      </c>
      <c r="N110" s="20">
        <f t="shared" si="29"/>
        <v>11350.98</v>
      </c>
      <c r="O110" s="36">
        <f>SUM(I110/F110*100%)</f>
        <v>0.82325429628018276</v>
      </c>
      <c r="P110" s="60">
        <f>SUM(H110/E110)</f>
        <v>0.34696541222536437</v>
      </c>
      <c r="Q110" s="57">
        <f>SUM(I110/F110*100%)</f>
        <v>0.82325429628018276</v>
      </c>
    </row>
    <row r="111" spans="1:17" s="31" customFormat="1" ht="22.5" customHeight="1" x14ac:dyDescent="0.25">
      <c r="A111" s="67" t="s">
        <v>186</v>
      </c>
      <c r="B111" s="14" t="s">
        <v>187</v>
      </c>
      <c r="C111" s="15">
        <v>10000</v>
      </c>
      <c r="D111" s="15">
        <v>-10000</v>
      </c>
      <c r="E111" s="18">
        <f t="shared" ref="E111:E114" si="33">SUM(C111:D111)</f>
        <v>0</v>
      </c>
      <c r="F111" s="15">
        <v>0</v>
      </c>
      <c r="G111" s="15">
        <v>0</v>
      </c>
      <c r="H111" s="15">
        <v>0</v>
      </c>
      <c r="I111" s="15">
        <v>0</v>
      </c>
      <c r="J111" s="17">
        <f t="shared" ref="J111:J114" si="34">F111-I111</f>
        <v>0</v>
      </c>
      <c r="K111" s="17">
        <f t="shared" ref="K111:K114" si="35">SUM(E111-G111-I111)</f>
        <v>0</v>
      </c>
      <c r="L111" s="17">
        <f t="shared" si="25"/>
        <v>0</v>
      </c>
      <c r="M111" s="15">
        <v>0</v>
      </c>
      <c r="N111" s="20">
        <f t="shared" si="29"/>
        <v>0</v>
      </c>
      <c r="O111" s="36">
        <v>0</v>
      </c>
      <c r="P111" s="36">
        <v>0</v>
      </c>
      <c r="Q111" s="36">
        <v>0</v>
      </c>
    </row>
    <row r="112" spans="1:17" s="31" customFormat="1" ht="22.5" customHeight="1" x14ac:dyDescent="0.25">
      <c r="A112" s="67">
        <v>641</v>
      </c>
      <c r="B112" s="14" t="s">
        <v>188</v>
      </c>
      <c r="C112" s="15">
        <v>21700</v>
      </c>
      <c r="D112" s="15">
        <v>0</v>
      </c>
      <c r="E112" s="18">
        <f t="shared" si="33"/>
        <v>21700</v>
      </c>
      <c r="F112" s="15">
        <v>21700</v>
      </c>
      <c r="G112" s="15">
        <v>0</v>
      </c>
      <c r="H112" s="15">
        <v>0</v>
      </c>
      <c r="I112" s="15">
        <v>0</v>
      </c>
      <c r="J112" s="17">
        <f t="shared" si="34"/>
        <v>21700</v>
      </c>
      <c r="K112" s="17">
        <f t="shared" si="35"/>
        <v>21700</v>
      </c>
      <c r="L112" s="17">
        <f t="shared" si="25"/>
        <v>0</v>
      </c>
      <c r="M112" s="15">
        <v>0</v>
      </c>
      <c r="N112" s="51">
        <f t="shared" si="29"/>
        <v>0</v>
      </c>
      <c r="O112" s="36">
        <f>SUM(I112/F112*100%)</f>
        <v>0</v>
      </c>
      <c r="P112" s="60">
        <f>SUM(H112/E112)</f>
        <v>0</v>
      </c>
      <c r="Q112" s="57">
        <f>SUM(I112/F112*100%)</f>
        <v>0</v>
      </c>
    </row>
    <row r="113" spans="1:17" s="31" customFormat="1" ht="22.5" customHeight="1" x14ac:dyDescent="0.25">
      <c r="A113" s="73">
        <v>669</v>
      </c>
      <c r="B113" s="34" t="s">
        <v>189</v>
      </c>
      <c r="C113" s="19">
        <v>130000</v>
      </c>
      <c r="D113" s="19">
        <v>-30000</v>
      </c>
      <c r="E113" s="18">
        <f t="shared" si="33"/>
        <v>100000</v>
      </c>
      <c r="F113" s="19">
        <v>100000</v>
      </c>
      <c r="G113" s="35">
        <v>0</v>
      </c>
      <c r="H113" s="19">
        <v>0</v>
      </c>
      <c r="I113" s="15">
        <f>SUM(100000+H113)</f>
        <v>100000</v>
      </c>
      <c r="J113" s="17">
        <f t="shared" si="34"/>
        <v>0</v>
      </c>
      <c r="K113" s="17">
        <f t="shared" si="35"/>
        <v>0</v>
      </c>
      <c r="L113" s="17">
        <f t="shared" si="25"/>
        <v>0</v>
      </c>
      <c r="M113" s="15">
        <v>50000</v>
      </c>
      <c r="N113" s="51">
        <f t="shared" si="29"/>
        <v>50000</v>
      </c>
      <c r="O113" s="36">
        <f>SUM(I113/F113*100%)</f>
        <v>1</v>
      </c>
      <c r="P113" s="60">
        <f>SUM(H113/E113)</f>
        <v>0</v>
      </c>
      <c r="Q113" s="57">
        <f>SUM(I113/F113*100%)</f>
        <v>1</v>
      </c>
    </row>
    <row r="114" spans="1:17" s="31" customFormat="1" ht="22.5" customHeight="1" thickBot="1" x14ac:dyDescent="0.3">
      <c r="A114" s="74">
        <v>693</v>
      </c>
      <c r="B114" s="37" t="s">
        <v>190</v>
      </c>
      <c r="C114" s="38">
        <v>0</v>
      </c>
      <c r="D114" s="38">
        <v>33</v>
      </c>
      <c r="E114" s="81">
        <f t="shared" si="33"/>
        <v>33</v>
      </c>
      <c r="F114" s="38">
        <v>33</v>
      </c>
      <c r="G114" s="39">
        <v>0</v>
      </c>
      <c r="H114" s="39">
        <v>0</v>
      </c>
      <c r="I114" s="40">
        <v>32.67</v>
      </c>
      <c r="J114" s="41">
        <f t="shared" si="34"/>
        <v>0.32999999999999829</v>
      </c>
      <c r="K114" s="41">
        <f t="shared" si="35"/>
        <v>0.32999999999999829</v>
      </c>
      <c r="L114" s="41">
        <f t="shared" si="25"/>
        <v>0</v>
      </c>
      <c r="M114" s="40">
        <v>32.67</v>
      </c>
      <c r="N114" s="52">
        <f t="shared" si="29"/>
        <v>0</v>
      </c>
      <c r="O114" s="42">
        <v>0</v>
      </c>
      <c r="P114" s="61">
        <v>0</v>
      </c>
      <c r="Q114" s="58">
        <v>0</v>
      </c>
    </row>
    <row r="115" spans="1:17" ht="22.5" customHeight="1" x14ac:dyDescent="0.3">
      <c r="A115" s="43" t="s">
        <v>191</v>
      </c>
      <c r="B115" s="44"/>
      <c r="C115" s="45"/>
      <c r="D115" s="45"/>
      <c r="E115" s="46"/>
      <c r="F115" s="46"/>
      <c r="G115" s="46"/>
      <c r="H115" s="46"/>
      <c r="I115" s="46"/>
      <c r="J115" s="46"/>
      <c r="K115" s="46"/>
      <c r="L115" s="45"/>
      <c r="M115" s="46"/>
      <c r="N115" s="45"/>
      <c r="O115" s="45"/>
      <c r="P115" s="45"/>
      <c r="Q115" s="47"/>
    </row>
    <row r="116" spans="1:17" ht="22.5" customHeight="1" x14ac:dyDescent="0.25">
      <c r="A116" s="43" t="s">
        <v>194</v>
      </c>
      <c r="G116" s="48"/>
      <c r="H116" s="48"/>
      <c r="J116" s="48"/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verticalDpi="597" r:id="rId1"/>
  <ignoredErrors>
    <ignoredError sqref="Q7" unlockedFormula="1"/>
    <ignoredError sqref="G2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sqref="A1:A4"/>
    </sheetView>
  </sheetViews>
  <sheetFormatPr baseColWidth="10" defaultRowHeight="15" x14ac:dyDescent="0.25"/>
  <sheetData>
    <row r="3" spans="1:1" x14ac:dyDescent="0.25">
      <c r="A3" s="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NOVIEMBRE 2019</vt:lpstr>
      <vt:lpstr>Hoja1</vt:lpstr>
      <vt:lpstr>'NOVIEMBRE 2019'!Área_de_impresión</vt:lpstr>
      <vt:lpstr>'NOVIEMBRE 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Vianed Ballesteros</cp:lastModifiedBy>
  <cp:lastPrinted>2019-12-03T17:02:11Z</cp:lastPrinted>
  <dcterms:created xsi:type="dcterms:W3CDTF">2019-06-18T16:01:20Z</dcterms:created>
  <dcterms:modified xsi:type="dcterms:W3CDTF">2019-12-03T17:33:18Z</dcterms:modified>
</cp:coreProperties>
</file>