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allesteros\Documents\PRESUPUESTO\EJECUCION PRESUPUESTARIA 2020\"/>
    </mc:Choice>
  </mc:AlternateContent>
  <bookViews>
    <workbookView xWindow="0" yWindow="0" windowWidth="13605" windowHeight="78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K98" i="1"/>
  <c r="J98" i="1"/>
  <c r="N97" i="1"/>
  <c r="L97" i="1"/>
  <c r="K97" i="1"/>
  <c r="J97" i="1"/>
  <c r="O96" i="1"/>
  <c r="N96" i="1"/>
  <c r="L96" i="1"/>
  <c r="K96" i="1"/>
  <c r="J96" i="1"/>
  <c r="M95" i="1"/>
  <c r="I95" i="1"/>
  <c r="N95" i="1" s="1"/>
  <c r="H95" i="1"/>
  <c r="O95" i="1" s="1"/>
  <c r="G95" i="1"/>
  <c r="F95" i="1"/>
  <c r="E95" i="1"/>
  <c r="K95" i="1" s="1"/>
  <c r="D95" i="1"/>
  <c r="C95" i="1"/>
  <c r="O94" i="1"/>
  <c r="N94" i="1"/>
  <c r="L94" i="1"/>
  <c r="K94" i="1"/>
  <c r="J94" i="1"/>
  <c r="O93" i="1"/>
  <c r="N93" i="1"/>
  <c r="L93" i="1"/>
  <c r="K93" i="1"/>
  <c r="J93" i="1"/>
  <c r="O92" i="1"/>
  <c r="N92" i="1"/>
  <c r="L92" i="1"/>
  <c r="K92" i="1"/>
  <c r="J92" i="1"/>
  <c r="O91" i="1"/>
  <c r="N91" i="1"/>
  <c r="L91" i="1"/>
  <c r="K91" i="1"/>
  <c r="J91" i="1"/>
  <c r="N90" i="1"/>
  <c r="L90" i="1"/>
  <c r="K90" i="1"/>
  <c r="J90" i="1"/>
  <c r="O89" i="1"/>
  <c r="N89" i="1"/>
  <c r="L89" i="1"/>
  <c r="K89" i="1"/>
  <c r="J89" i="1"/>
  <c r="N88" i="1"/>
  <c r="M88" i="1"/>
  <c r="I88" i="1"/>
  <c r="H88" i="1"/>
  <c r="O88" i="1" s="1"/>
  <c r="G88" i="1"/>
  <c r="F88" i="1"/>
  <c r="E88" i="1"/>
  <c r="K88" i="1" s="1"/>
  <c r="D88" i="1"/>
  <c r="C88" i="1"/>
  <c r="N87" i="1"/>
  <c r="L87" i="1"/>
  <c r="K87" i="1"/>
  <c r="J87" i="1"/>
  <c r="H87" i="1"/>
  <c r="O87" i="1" s="1"/>
  <c r="O86" i="1"/>
  <c r="N86" i="1"/>
  <c r="L86" i="1"/>
  <c r="K86" i="1"/>
  <c r="J86" i="1"/>
  <c r="O85" i="1"/>
  <c r="N85" i="1"/>
  <c r="L85" i="1"/>
  <c r="K85" i="1"/>
  <c r="J85" i="1"/>
  <c r="O84" i="1"/>
  <c r="N84" i="1"/>
  <c r="L84" i="1"/>
  <c r="K84" i="1"/>
  <c r="J84" i="1"/>
  <c r="O83" i="1"/>
  <c r="N83" i="1"/>
  <c r="L83" i="1"/>
  <c r="K83" i="1"/>
  <c r="J83" i="1"/>
  <c r="O82" i="1"/>
  <c r="N82" i="1"/>
  <c r="L82" i="1"/>
  <c r="K82" i="1"/>
  <c r="J82" i="1"/>
  <c r="H82" i="1"/>
  <c r="O81" i="1"/>
  <c r="N81" i="1"/>
  <c r="L81" i="1"/>
  <c r="K81" i="1"/>
  <c r="J81" i="1"/>
  <c r="N80" i="1"/>
  <c r="L80" i="1"/>
  <c r="K80" i="1"/>
  <c r="J80" i="1"/>
  <c r="H80" i="1"/>
  <c r="O80" i="1" s="1"/>
  <c r="O79" i="1"/>
  <c r="N79" i="1"/>
  <c r="L79" i="1"/>
  <c r="K79" i="1"/>
  <c r="J79" i="1"/>
  <c r="O78" i="1"/>
  <c r="N78" i="1"/>
  <c r="L78" i="1"/>
  <c r="K78" i="1"/>
  <c r="J78" i="1"/>
  <c r="H78" i="1"/>
  <c r="O77" i="1"/>
  <c r="N77" i="1"/>
  <c r="L77" i="1"/>
  <c r="K77" i="1"/>
  <c r="J77" i="1"/>
  <c r="O76" i="1"/>
  <c r="N76" i="1"/>
  <c r="L76" i="1"/>
  <c r="K76" i="1"/>
  <c r="J76" i="1"/>
  <c r="O75" i="1"/>
  <c r="N75" i="1"/>
  <c r="L75" i="1"/>
  <c r="K75" i="1"/>
  <c r="J75" i="1"/>
  <c r="O74" i="1"/>
  <c r="N74" i="1"/>
  <c r="L74" i="1"/>
  <c r="K74" i="1"/>
  <c r="J74" i="1"/>
  <c r="N73" i="1"/>
  <c r="L73" i="1"/>
  <c r="K73" i="1"/>
  <c r="F73" i="1"/>
  <c r="O73" i="1" s="1"/>
  <c r="O72" i="1"/>
  <c r="N72" i="1"/>
  <c r="L72" i="1"/>
  <c r="K72" i="1"/>
  <c r="J72" i="1"/>
  <c r="O71" i="1"/>
  <c r="N71" i="1"/>
  <c r="L71" i="1"/>
  <c r="K71" i="1"/>
  <c r="J71" i="1"/>
  <c r="O70" i="1"/>
  <c r="N70" i="1"/>
  <c r="L70" i="1"/>
  <c r="K70" i="1"/>
  <c r="J70" i="1"/>
  <c r="N69" i="1"/>
  <c r="K69" i="1"/>
  <c r="F69" i="1"/>
  <c r="O69" i="1" s="1"/>
  <c r="N68" i="1"/>
  <c r="L68" i="1"/>
  <c r="K68" i="1"/>
  <c r="J68" i="1"/>
  <c r="N67" i="1"/>
  <c r="K67" i="1"/>
  <c r="F67" i="1"/>
  <c r="O67" i="1" s="1"/>
  <c r="O66" i="1"/>
  <c r="N66" i="1"/>
  <c r="L66" i="1"/>
  <c r="K66" i="1"/>
  <c r="J66" i="1"/>
  <c r="O65" i="1"/>
  <c r="N65" i="1"/>
  <c r="L65" i="1"/>
  <c r="K65" i="1"/>
  <c r="J65" i="1"/>
  <c r="O64" i="1"/>
  <c r="N64" i="1"/>
  <c r="L64" i="1"/>
  <c r="K64" i="1"/>
  <c r="J64" i="1"/>
  <c r="O63" i="1"/>
  <c r="N63" i="1"/>
  <c r="L63" i="1"/>
  <c r="K63" i="1"/>
  <c r="J63" i="1"/>
  <c r="O62" i="1"/>
  <c r="N62" i="1"/>
  <c r="L62" i="1"/>
  <c r="K62" i="1"/>
  <c r="J62" i="1"/>
  <c r="O61" i="1"/>
  <c r="N61" i="1"/>
  <c r="L61" i="1"/>
  <c r="K61" i="1"/>
  <c r="J61" i="1"/>
  <c r="O60" i="1"/>
  <c r="N60" i="1"/>
  <c r="L60" i="1"/>
  <c r="K60" i="1"/>
  <c r="J60" i="1"/>
  <c r="N59" i="1"/>
  <c r="L59" i="1"/>
  <c r="K59" i="1"/>
  <c r="J59" i="1"/>
  <c r="O58" i="1"/>
  <c r="N58" i="1"/>
  <c r="L58" i="1"/>
  <c r="K58" i="1"/>
  <c r="J58" i="1"/>
  <c r="O57" i="1"/>
  <c r="N57" i="1"/>
  <c r="M57" i="1"/>
  <c r="L57" i="1"/>
  <c r="K57" i="1"/>
  <c r="J57" i="1"/>
  <c r="M56" i="1"/>
  <c r="I56" i="1"/>
  <c r="N56" i="1" s="1"/>
  <c r="G56" i="1"/>
  <c r="E56" i="1"/>
  <c r="D56" i="1"/>
  <c r="C56" i="1"/>
  <c r="O55" i="1"/>
  <c r="N55" i="1"/>
  <c r="L55" i="1"/>
  <c r="K55" i="1"/>
  <c r="J55" i="1"/>
  <c r="N54" i="1"/>
  <c r="L54" i="1"/>
  <c r="K54" i="1"/>
  <c r="J54" i="1"/>
  <c r="H54" i="1"/>
  <c r="O54" i="1" s="1"/>
  <c r="O53" i="1"/>
  <c r="N53" i="1"/>
  <c r="L53" i="1"/>
  <c r="K53" i="1"/>
  <c r="J53" i="1"/>
  <c r="O52" i="1"/>
  <c r="N52" i="1"/>
  <c r="L52" i="1"/>
  <c r="K52" i="1"/>
  <c r="J52" i="1"/>
  <c r="O51" i="1"/>
  <c r="N51" i="1"/>
  <c r="L51" i="1"/>
  <c r="K51" i="1"/>
  <c r="J51" i="1"/>
  <c r="O50" i="1"/>
  <c r="N50" i="1"/>
  <c r="L50" i="1"/>
  <c r="K50" i="1"/>
  <c r="J50" i="1"/>
  <c r="O49" i="1"/>
  <c r="N49" i="1"/>
  <c r="L49" i="1"/>
  <c r="K49" i="1"/>
  <c r="J49" i="1"/>
  <c r="O48" i="1"/>
  <c r="N48" i="1"/>
  <c r="L48" i="1"/>
  <c r="K48" i="1"/>
  <c r="J48" i="1"/>
  <c r="O47" i="1"/>
  <c r="N47" i="1"/>
  <c r="L47" i="1"/>
  <c r="K47" i="1"/>
  <c r="J47" i="1"/>
  <c r="O46" i="1"/>
  <c r="N46" i="1"/>
  <c r="L46" i="1"/>
  <c r="K46" i="1"/>
  <c r="J46" i="1"/>
  <c r="O45" i="1"/>
  <c r="N45" i="1"/>
  <c r="L45" i="1"/>
  <c r="K45" i="1"/>
  <c r="J45" i="1"/>
  <c r="O44" i="1"/>
  <c r="N44" i="1"/>
  <c r="L44" i="1"/>
  <c r="K44" i="1"/>
  <c r="J44" i="1"/>
  <c r="O43" i="1"/>
  <c r="N43" i="1"/>
  <c r="L43" i="1"/>
  <c r="K43" i="1"/>
  <c r="J43" i="1"/>
  <c r="M42" i="1"/>
  <c r="N42" i="1" s="1"/>
  <c r="L42" i="1"/>
  <c r="K42" i="1"/>
  <c r="J42" i="1"/>
  <c r="H42" i="1"/>
  <c r="G42" i="1"/>
  <c r="G20" i="1" s="1"/>
  <c r="O41" i="1"/>
  <c r="N41" i="1"/>
  <c r="L41" i="1"/>
  <c r="K41" i="1"/>
  <c r="J41" i="1"/>
  <c r="N40" i="1"/>
  <c r="L40" i="1"/>
  <c r="K40" i="1"/>
  <c r="J40" i="1"/>
  <c r="H40" i="1"/>
  <c r="O40" i="1" s="1"/>
  <c r="O39" i="1"/>
  <c r="N39" i="1"/>
  <c r="L39" i="1"/>
  <c r="K39" i="1"/>
  <c r="J39" i="1"/>
  <c r="O38" i="1"/>
  <c r="N38" i="1"/>
  <c r="L38" i="1"/>
  <c r="K38" i="1"/>
  <c r="J38" i="1"/>
  <c r="O37" i="1"/>
  <c r="M37" i="1"/>
  <c r="N37" i="1" s="1"/>
  <c r="L37" i="1"/>
  <c r="K37" i="1"/>
  <c r="J37" i="1"/>
  <c r="N36" i="1"/>
  <c r="L36" i="1"/>
  <c r="K36" i="1"/>
  <c r="J36" i="1"/>
  <c r="O35" i="1"/>
  <c r="M35" i="1"/>
  <c r="L35" i="1"/>
  <c r="I35" i="1"/>
  <c r="K35" i="1" s="1"/>
  <c r="O34" i="1"/>
  <c r="N34" i="1"/>
  <c r="M34" i="1"/>
  <c r="L34" i="1"/>
  <c r="K34" i="1"/>
  <c r="J34" i="1"/>
  <c r="O33" i="1"/>
  <c r="N33" i="1"/>
  <c r="L33" i="1"/>
  <c r="K33" i="1"/>
  <c r="J33" i="1"/>
  <c r="O32" i="1"/>
  <c r="N32" i="1"/>
  <c r="L32" i="1"/>
  <c r="K32" i="1"/>
  <c r="J32" i="1"/>
  <c r="N31" i="1"/>
  <c r="K31" i="1"/>
  <c r="F31" i="1"/>
  <c r="O31" i="1" s="1"/>
  <c r="M30" i="1"/>
  <c r="I30" i="1"/>
  <c r="H30" i="1"/>
  <c r="F30" i="1"/>
  <c r="L30" i="1" s="1"/>
  <c r="M29" i="1"/>
  <c r="I29" i="1"/>
  <c r="H29" i="1"/>
  <c r="O29" i="1" s="1"/>
  <c r="F29" i="1"/>
  <c r="L29" i="1" s="1"/>
  <c r="N28" i="1"/>
  <c r="L28" i="1"/>
  <c r="K28" i="1"/>
  <c r="J28" i="1"/>
  <c r="N27" i="1"/>
  <c r="L27" i="1"/>
  <c r="K27" i="1"/>
  <c r="J27" i="1"/>
  <c r="N26" i="1"/>
  <c r="L26" i="1"/>
  <c r="K26" i="1"/>
  <c r="F26" i="1"/>
  <c r="J26" i="1" s="1"/>
  <c r="O25" i="1"/>
  <c r="N25" i="1"/>
  <c r="L25" i="1"/>
  <c r="K25" i="1"/>
  <c r="J25" i="1"/>
  <c r="N24" i="1"/>
  <c r="L24" i="1"/>
  <c r="K24" i="1"/>
  <c r="J24" i="1"/>
  <c r="O23" i="1"/>
  <c r="N23" i="1"/>
  <c r="L23" i="1"/>
  <c r="K23" i="1"/>
  <c r="J23" i="1"/>
  <c r="N22" i="1"/>
  <c r="L22" i="1"/>
  <c r="K22" i="1"/>
  <c r="J22" i="1"/>
  <c r="I21" i="1"/>
  <c r="J21" i="1" s="1"/>
  <c r="G21" i="1"/>
  <c r="F21" i="1"/>
  <c r="O21" i="1" s="1"/>
  <c r="H20" i="1"/>
  <c r="E20" i="1"/>
  <c r="D20" i="1"/>
  <c r="C20" i="1"/>
  <c r="O19" i="1"/>
  <c r="L19" i="1"/>
  <c r="J19" i="1"/>
  <c r="I19" i="1"/>
  <c r="K19" i="1" s="1"/>
  <c r="O18" i="1"/>
  <c r="N18" i="1"/>
  <c r="L18" i="1"/>
  <c r="K18" i="1"/>
  <c r="J18" i="1"/>
  <c r="O17" i="1"/>
  <c r="N17" i="1"/>
  <c r="L17" i="1"/>
  <c r="K17" i="1"/>
  <c r="J17" i="1"/>
  <c r="O16" i="1"/>
  <c r="N16" i="1"/>
  <c r="L16" i="1"/>
  <c r="K16" i="1"/>
  <c r="J16" i="1"/>
  <c r="L15" i="1"/>
  <c r="I15" i="1"/>
  <c r="N15" i="1" s="1"/>
  <c r="H15" i="1"/>
  <c r="O15" i="1" s="1"/>
  <c r="M14" i="1"/>
  <c r="L14" i="1"/>
  <c r="I14" i="1"/>
  <c r="N14" i="1" s="1"/>
  <c r="H14" i="1"/>
  <c r="M13" i="1"/>
  <c r="K13" i="1"/>
  <c r="I13" i="1"/>
  <c r="N13" i="1" s="1"/>
  <c r="H13" i="1"/>
  <c r="F13" i="1"/>
  <c r="L13" i="1" s="1"/>
  <c r="N12" i="1"/>
  <c r="M12" i="1"/>
  <c r="I12" i="1"/>
  <c r="K12" i="1" s="1"/>
  <c r="H12" i="1"/>
  <c r="F12" i="1"/>
  <c r="N11" i="1"/>
  <c r="K11" i="1"/>
  <c r="F11" i="1"/>
  <c r="O11" i="1" s="1"/>
  <c r="M10" i="1"/>
  <c r="I10" i="1"/>
  <c r="N10" i="1" s="1"/>
  <c r="H10" i="1"/>
  <c r="F10" i="1"/>
  <c r="L10" i="1" s="1"/>
  <c r="M9" i="1"/>
  <c r="L9" i="1"/>
  <c r="I9" i="1"/>
  <c r="H9" i="1"/>
  <c r="F9" i="1"/>
  <c r="G8" i="1"/>
  <c r="E8" i="1"/>
  <c r="D8" i="1"/>
  <c r="C8" i="1"/>
  <c r="E7" i="1"/>
  <c r="O12" i="1" l="1"/>
  <c r="M20" i="1"/>
  <c r="C7" i="1"/>
  <c r="J9" i="1"/>
  <c r="M8" i="1"/>
  <c r="M7" i="1" s="1"/>
  <c r="L11" i="1"/>
  <c r="J15" i="1"/>
  <c r="L21" i="1"/>
  <c r="N30" i="1"/>
  <c r="J35" i="1"/>
  <c r="N35" i="1"/>
  <c r="K56" i="1"/>
  <c r="J95" i="1"/>
  <c r="G7" i="1"/>
  <c r="D7" i="1"/>
  <c r="H8" i="1"/>
  <c r="J12" i="1"/>
  <c r="K15" i="1"/>
  <c r="F20" i="1"/>
  <c r="L20" i="1" s="1"/>
  <c r="J29" i="1"/>
  <c r="L31" i="1"/>
  <c r="F56" i="1"/>
  <c r="J56" i="1" s="1"/>
  <c r="J88" i="1"/>
  <c r="L88" i="1"/>
  <c r="O8" i="1"/>
  <c r="I8" i="1"/>
  <c r="N9" i="1"/>
  <c r="K10" i="1"/>
  <c r="O10" i="1"/>
  <c r="J11" i="1"/>
  <c r="L12" i="1"/>
  <c r="K14" i="1"/>
  <c r="O14" i="1"/>
  <c r="K21" i="1"/>
  <c r="N29" i="1"/>
  <c r="K30" i="1"/>
  <c r="O30" i="1"/>
  <c r="J31" i="1"/>
  <c r="O42" i="1"/>
  <c r="H56" i="1"/>
  <c r="L56" i="1"/>
  <c r="J73" i="1"/>
  <c r="L95" i="1"/>
  <c r="O13" i="1"/>
  <c r="N21" i="1"/>
  <c r="F8" i="1"/>
  <c r="K9" i="1"/>
  <c r="O9" i="1"/>
  <c r="J13" i="1"/>
  <c r="N19" i="1"/>
  <c r="K29" i="1"/>
  <c r="L67" i="1"/>
  <c r="L69" i="1"/>
  <c r="J10" i="1"/>
  <c r="J14" i="1"/>
  <c r="I20" i="1"/>
  <c r="J20" i="1" s="1"/>
  <c r="J30" i="1"/>
  <c r="J67" i="1"/>
  <c r="J69" i="1"/>
  <c r="O20" i="1" l="1"/>
  <c r="O56" i="1"/>
  <c r="N8" i="1"/>
  <c r="I7" i="1"/>
  <c r="K8" i="1"/>
  <c r="N20" i="1"/>
  <c r="L8" i="1"/>
  <c r="L7" i="1" s="1"/>
  <c r="J8" i="1"/>
  <c r="J7" i="1" s="1"/>
  <c r="F7" i="1"/>
  <c r="H7" i="1"/>
  <c r="K20" i="1"/>
  <c r="O7" i="1" l="1"/>
  <c r="N7" i="1"/>
  <c r="K7" i="1"/>
</calcChain>
</file>

<file path=xl/sharedStrings.xml><?xml version="1.0" encoding="utf-8"?>
<sst xmlns="http://schemas.openxmlformats.org/spreadsheetml/2006/main" count="199" uniqueCount="196">
  <si>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</si>
  <si>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</si>
  <si>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</si>
  <si>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DE JULIO DE 2020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</si>
  <si>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</si>
  <si>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</si>
  <si>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</si>
  <si>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</si>
  <si>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</si>
  <si>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</si>
  <si>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</si>
  <si>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</si>
  <si>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</si>
  <si>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</si>
  <si>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</si>
  <si>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    (3-7)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</si>
  <si>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</si>
  <si>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</si>
  <si>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</si>
  <si>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MENSUAL  VS  ASIGNADO) 
(4/6)</t>
  </si>
  <si>
    <t>******** TOTAL</t>
  </si>
  <si>
    <t>SERVICIOS PERSONALES</t>
  </si>
  <si>
    <t>001</t>
  </si>
  <si>
    <t>PERSONAL FIJO</t>
  </si>
  <si>
    <t>030</t>
  </si>
  <si>
    <t>GASTOS DE REPRESENTACIÓN F</t>
  </si>
  <si>
    <t>050</t>
  </si>
  <si>
    <t>XIII MES</t>
  </si>
  <si>
    <t>071</t>
  </si>
  <si>
    <t>CUOTA PATRONAL DE SEGURO S</t>
  </si>
  <si>
    <t>072</t>
  </si>
  <si>
    <t>CUOTA PATRONAL DE SEGURO E</t>
  </si>
  <si>
    <t>073</t>
  </si>
  <si>
    <t>CUOTA PATRONAL DE RIESGO P</t>
  </si>
  <si>
    <t>074</t>
  </si>
  <si>
    <t>CUOTA PATRONAL PARA EL FON</t>
  </si>
  <si>
    <t>091</t>
  </si>
  <si>
    <t>SUELDOS</t>
  </si>
  <si>
    <t>094</t>
  </si>
  <si>
    <t>096</t>
  </si>
  <si>
    <t>099</t>
  </si>
  <si>
    <t>CONTRIBUCIONES A LA SEGURI</t>
  </si>
  <si>
    <t>SERVICIOS NO PERSONALES</t>
  </si>
  <si>
    <t>101</t>
  </si>
  <si>
    <t>DE EDIFICIOS Y LOCALES</t>
  </si>
  <si>
    <t>102</t>
  </si>
  <si>
    <t>DE EQUIPO ELECTRÓNICO</t>
  </si>
  <si>
    <t>103</t>
  </si>
  <si>
    <t>DE EQUIPO DE OFICINA</t>
  </si>
  <si>
    <t>105</t>
  </si>
  <si>
    <t>DE EQUIPO DE TRANSPORTE</t>
  </si>
  <si>
    <t>109</t>
  </si>
  <si>
    <t>OTROS ALQUILERES</t>
  </si>
  <si>
    <t>111</t>
  </si>
  <si>
    <t>AGUA</t>
  </si>
  <si>
    <t>112</t>
  </si>
  <si>
    <t>ASEO</t>
  </si>
  <si>
    <t>113</t>
  </si>
  <si>
    <t>CORREO</t>
  </si>
  <si>
    <t>114</t>
  </si>
  <si>
    <t>ENERGÍA ELÉCTRICA</t>
  </si>
  <si>
    <t>115</t>
  </si>
  <si>
    <t>TELECOMUNICACIONES</t>
  </si>
  <si>
    <t>116</t>
  </si>
  <si>
    <t>SERVICIO DE TRANSMISIÓN DE</t>
  </si>
  <si>
    <t>117</t>
  </si>
  <si>
    <t>SERVICIO DE TELEFONÍA CELU</t>
  </si>
  <si>
    <t>120</t>
  </si>
  <si>
    <t>IMPRESIÓN, ENCUADERNACIÓN</t>
  </si>
  <si>
    <t>132</t>
  </si>
  <si>
    <t>PROMOCIÓN Y PUBLICIDAD</t>
  </si>
  <si>
    <t>141</t>
  </si>
  <si>
    <t>VIÁTICOS DENTRO DEL PAÍS</t>
  </si>
  <si>
    <t>142</t>
  </si>
  <si>
    <t>VIÁTICOS EN EL EXTERIOR</t>
  </si>
  <si>
    <t>151</t>
  </si>
  <si>
    <t>TRANSPORTE DENTRO DEL PAÍS</t>
  </si>
  <si>
    <t>152</t>
  </si>
  <si>
    <t>TRANSPORTE DE O PARA EL EX</t>
  </si>
  <si>
    <t>153</t>
  </si>
  <si>
    <t>TRANSPORTE DE OTRAS PERSON</t>
  </si>
  <si>
    <t>154</t>
  </si>
  <si>
    <t>TRANSPORTE DE BIENES</t>
  </si>
  <si>
    <t>164</t>
  </si>
  <si>
    <t>GASTOS DE SEGUROS</t>
  </si>
  <si>
    <t>169</t>
  </si>
  <si>
    <t>OTROS SERVICIOS COMERCIALE</t>
  </si>
  <si>
    <t>172</t>
  </si>
  <si>
    <t>SERVICIOS ESPECIALES</t>
  </si>
  <si>
    <t>181</t>
  </si>
  <si>
    <t>MANT. Y REP. DE EDIFICIOS</t>
  </si>
  <si>
    <t>182</t>
  </si>
  <si>
    <t>MANT. Y REP. DE MAQUINARIA</t>
  </si>
  <si>
    <t>183</t>
  </si>
  <si>
    <t>MANT. Y REP.  DE MOBILIARI</t>
  </si>
  <si>
    <t>185</t>
  </si>
  <si>
    <t>MANT. Y REP. DE EQUIPO DE</t>
  </si>
  <si>
    <t>189</t>
  </si>
  <si>
    <t>OTROS MANTENIMIENTOS Y REP</t>
  </si>
  <si>
    <t>192</t>
  </si>
  <si>
    <t>SERVICIOS BÁSICOS</t>
  </si>
  <si>
    <t>193</t>
  </si>
  <si>
    <t>194</t>
  </si>
  <si>
    <t>INFORMACIÓN Y PUBLICIDAD</t>
  </si>
  <si>
    <t>195</t>
  </si>
  <si>
    <t>VIÁTICOS</t>
  </si>
  <si>
    <t>196</t>
  </si>
  <si>
    <t>TRANSPORTE DE PERSONAS Y B</t>
  </si>
  <si>
    <t>197</t>
  </si>
  <si>
    <t>SERVICIOS COMERCIALES Y FI</t>
  </si>
  <si>
    <t>-</t>
  </si>
  <si>
    <t>199</t>
  </si>
  <si>
    <t>MANTENIMIENTO Y REPARACIÓN</t>
  </si>
  <si>
    <t>MATERIALES Y SUMINISTRO</t>
  </si>
  <si>
    <t>201</t>
  </si>
  <si>
    <t>ALIMENTOS PARA CONSUMO HUM</t>
  </si>
  <si>
    <t>203</t>
  </si>
  <si>
    <t>BEBIDAS</t>
  </si>
  <si>
    <t>214</t>
  </si>
  <si>
    <t>PRENDAS DE VESTIR</t>
  </si>
  <si>
    <t>221</t>
  </si>
  <si>
    <t>DIÉSEL</t>
  </si>
  <si>
    <t>223</t>
  </si>
  <si>
    <t>GASOLINA</t>
  </si>
  <si>
    <t>224</t>
  </si>
  <si>
    <t>LUBRICANTES</t>
  </si>
  <si>
    <t>231</t>
  </si>
  <si>
    <t>IMPRESOS</t>
  </si>
  <si>
    <t>232</t>
  </si>
  <si>
    <t>PAPELERÍA</t>
  </si>
  <si>
    <t>239</t>
  </si>
  <si>
    <t>OTROS PRODUCTOS DE PAPEL Y</t>
  </si>
  <si>
    <t>242</t>
  </si>
  <si>
    <t>INSECTICIDAS, FUMIGANTES Y</t>
  </si>
  <si>
    <t>243</t>
  </si>
  <si>
    <t>PINTURAS, COLORANTES Y TIN</t>
  </si>
  <si>
    <t>244</t>
  </si>
  <si>
    <t>PRODUCTOS MEDICINALES Y FA</t>
  </si>
  <si>
    <t>249</t>
  </si>
  <si>
    <t>OTROS PRODUCTOS QUÍMICOS</t>
  </si>
  <si>
    <t>253</t>
  </si>
  <si>
    <t>MADERA</t>
  </si>
  <si>
    <t>254</t>
  </si>
  <si>
    <t>MATERIAL DE FONTANERÍA</t>
  </si>
  <si>
    <t>255</t>
  </si>
  <si>
    <t>MATERIAL ELÉCTRICO</t>
  </si>
  <si>
    <t>259</t>
  </si>
  <si>
    <t>OTROS MATERIALES DE CONSTR</t>
  </si>
  <si>
    <t>261</t>
  </si>
  <si>
    <t>ARTÍCULOS O PRODUCTOS PARA</t>
  </si>
  <si>
    <t>262</t>
  </si>
  <si>
    <t>HERRAMIENTAS E INSTRUMENTO</t>
  </si>
  <si>
    <t>265</t>
  </si>
  <si>
    <t>MATERIALES Y SUMINISTROS D</t>
  </si>
  <si>
    <t>269</t>
  </si>
  <si>
    <t>OTROS PRODUCTOS VARIOS</t>
  </si>
  <si>
    <t>271</t>
  </si>
  <si>
    <t>ÚTILES DE COCINA Y COMEDOR</t>
  </si>
  <si>
    <t>273</t>
  </si>
  <si>
    <t>ÚTILES DE ASEO Y LIMPIEZA</t>
  </si>
  <si>
    <t>275</t>
  </si>
  <si>
    <t>ÚTILES Y MATERIALES DE OFI</t>
  </si>
  <si>
    <t>279</t>
  </si>
  <si>
    <t>OTROS ÚTILES Y MATERIALES</t>
  </si>
  <si>
    <t>280</t>
  </si>
  <si>
    <t>REPUESTOS</t>
  </si>
  <si>
    <t>291</t>
  </si>
  <si>
    <t>ALIMENTOS Y BEBIDAS</t>
  </si>
  <si>
    <t>293</t>
  </si>
  <si>
    <t>COMBUSTIBLES Y LUBRICANTES</t>
  </si>
  <si>
    <t>294</t>
  </si>
  <si>
    <t>PRODUCTOS DE PAPEL Y CARTÓ</t>
  </si>
  <si>
    <t>296</t>
  </si>
  <si>
    <t>MATERIALES PARA CONSTRUCCI</t>
  </si>
  <si>
    <t>298</t>
  </si>
  <si>
    <t>ÚTILES Y MATERIALES DIVERS</t>
  </si>
  <si>
    <t>MAQUINARIA Y EQUIPO</t>
  </si>
  <si>
    <t>301</t>
  </si>
  <si>
    <t>MAQUINARIA Y EQUIPO DE COM</t>
  </si>
  <si>
    <t>314</t>
  </si>
  <si>
    <t>TERRESTRE</t>
  </si>
  <si>
    <t>320</t>
  </si>
  <si>
    <t>EQUIPO EDUCACIONAL Y RECRE</t>
  </si>
  <si>
    <t>340</t>
  </si>
  <si>
    <t>EQUIPO DE OFICINA</t>
  </si>
  <si>
    <t>370</t>
  </si>
  <si>
    <t>MAQUINARIA Y EQUIPOS VARIO</t>
  </si>
  <si>
    <t>380</t>
  </si>
  <si>
    <t>EQUIPO DE COMPUTACIÓN</t>
  </si>
  <si>
    <t>TRANSFERENCIAS CORRIENTES</t>
  </si>
  <si>
    <t>CAPACITACIÓN Y ESTUDIOS</t>
  </si>
  <si>
    <t>629</t>
  </si>
  <si>
    <t>OTRAS BECAS</t>
  </si>
  <si>
    <t>669</t>
  </si>
  <si>
    <t>OTRAS TRANSFERENCIAS AL EX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</si>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</sst>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2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left" vertical="center"/>
    </xf>
    <xf numFmtId="164" fontId="5" fillId="0" borderId="4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vertical="center"/>
    </xf>
    <xf numFmtId="9" fontId="2" fillId="0" borderId="6" xfId="2" applyNumberFormat="1" applyFont="1" applyFill="1" applyBorder="1" applyAlignment="1">
      <alignment horizontal="right" vertical="center" wrapText="1"/>
    </xf>
    <xf numFmtId="9" fontId="6" fillId="0" borderId="0" xfId="2" applyFont="1" applyFill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left" vertical="center"/>
    </xf>
    <xf numFmtId="164" fontId="5" fillId="0" borderId="5" xfId="1" applyNumberFormat="1" applyFont="1" applyFill="1" applyBorder="1" applyAlignment="1">
      <alignment vertical="center"/>
    </xf>
    <xf numFmtId="3" fontId="5" fillId="0" borderId="4" xfId="1" applyNumberFormat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vertical="center"/>
    </xf>
    <xf numFmtId="9" fontId="2" fillId="0" borderId="4" xfId="2" applyNumberFormat="1" applyFont="1" applyFill="1" applyBorder="1" applyAlignment="1">
      <alignment horizontal="right" vertical="center" wrapText="1"/>
    </xf>
    <xf numFmtId="164" fontId="6" fillId="0" borderId="0" xfId="2" applyNumberFormat="1" applyFont="1" applyFill="1" applyBorder="1" applyAlignment="1">
      <alignment horizontal="right" vertical="center" wrapText="1"/>
    </xf>
    <xf numFmtId="164" fontId="3" fillId="0" borderId="4" xfId="1" applyNumberFormat="1" applyFont="1" applyFill="1" applyBorder="1" applyAlignment="1">
      <alignment horizontal="left" vertical="center"/>
    </xf>
    <xf numFmtId="164" fontId="3" fillId="0" borderId="4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9" fontId="6" fillId="0" borderId="4" xfId="2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left" vertical="center"/>
    </xf>
    <xf numFmtId="164" fontId="5" fillId="0" borderId="7" xfId="1" applyNumberFormat="1" applyFont="1" applyFill="1" applyBorder="1" applyAlignment="1">
      <alignment horizontal="left" vertical="center"/>
    </xf>
    <xf numFmtId="9" fontId="2" fillId="0" borderId="4" xfId="2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left" vertical="center" wrapText="1"/>
    </xf>
    <xf numFmtId="164" fontId="5" fillId="0" borderId="7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left" vertical="center"/>
    </xf>
    <xf numFmtId="164" fontId="3" fillId="0" borderId="8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vertical="center"/>
    </xf>
    <xf numFmtId="164" fontId="3" fillId="0" borderId="10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center"/>
    </xf>
    <xf numFmtId="9" fontId="6" fillId="0" borderId="8" xfId="2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vertical="center"/>
    </xf>
    <xf numFmtId="9" fontId="3" fillId="0" borderId="0" xfId="2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410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400050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086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400050</xdr:colOff>
      <xdr:row>56</xdr:row>
      <xdr:rowOff>28575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98869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400050</xdr:colOff>
      <xdr:row>42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248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400050</xdr:colOff>
      <xdr:row>0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400050</xdr:colOff>
      <xdr:row>46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89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400050</xdr:colOff>
      <xdr:row>43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410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400050</xdr:colOff>
      <xdr:row>59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103727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400050</xdr:colOff>
      <xdr:row>45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734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400050</xdr:colOff>
      <xdr:row>42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248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572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400050</xdr:colOff>
      <xdr:row>44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7572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D1" workbookViewId="0">
      <selection activeCell="D1" sqref="A1:XFD1048576"/>
    </sheetView>
  </sheetViews>
  <sheetFormatPr baseColWidth="10" defaultRowHeight="12.75" x14ac:dyDescent="0.25"/>
  <cols>
    <col min="1" max="1" width="8.140625" style="2" customWidth="1"/>
    <col min="2" max="2" width="18.28515625" style="2" customWidth="1"/>
    <col min="3" max="3" width="14.7109375" style="2" customWidth="1"/>
    <col min="4" max="4" width="14.7109375" style="36" customWidth="1"/>
    <col min="5" max="5" width="15.85546875" style="2" customWidth="1"/>
    <col min="6" max="6" width="11.5703125" style="2" customWidth="1"/>
    <col min="7" max="7" width="13.7109375" style="2" customWidth="1"/>
    <col min="8" max="8" width="14.42578125" style="2" customWidth="1"/>
    <col min="9" max="9" width="15.5703125" style="2" customWidth="1"/>
    <col min="10" max="10" width="9.5703125" style="2" customWidth="1"/>
    <col min="11" max="11" width="8.5703125" style="2" customWidth="1"/>
    <col min="12" max="12" width="10.42578125" style="2" customWidth="1"/>
    <col min="13" max="13" width="8.7109375" style="2" customWidth="1"/>
    <col min="14" max="14" width="11.42578125" style="2" customWidth="1"/>
    <col min="15" max="15" width="12" style="37" customWidth="1"/>
    <col min="16" max="254" width="11.42578125" style="2"/>
    <col min="255" max="255" width="8.140625" style="2" customWidth="1"/>
    <col min="256" max="256" width="18.28515625" style="2" customWidth="1"/>
    <col min="257" max="257" width="14.7109375" style="2" customWidth="1"/>
    <col min="258" max="258" width="11.140625" style="2" customWidth="1"/>
    <col min="259" max="259" width="14.28515625" style="2" customWidth="1"/>
    <col min="260" max="260" width="16.7109375" style="2" customWidth="1"/>
    <col min="261" max="261" width="15.7109375" style="2" customWidth="1"/>
    <col min="262" max="262" width="14.42578125" style="2" customWidth="1"/>
    <col min="263" max="263" width="16.5703125" style="2" customWidth="1"/>
    <col min="264" max="265" width="17.85546875" style="2" customWidth="1"/>
    <col min="266" max="266" width="15.7109375" style="2" customWidth="1"/>
    <col min="267" max="267" width="13.140625" style="2" customWidth="1"/>
    <col min="268" max="268" width="11.42578125" style="2" customWidth="1"/>
    <col min="269" max="269" width="8.5703125" style="2" customWidth="1"/>
    <col min="270" max="270" width="7.42578125" style="2" customWidth="1"/>
    <col min="271" max="271" width="8.5703125" style="2" customWidth="1"/>
    <col min="272" max="510" width="11.42578125" style="2"/>
    <col min="511" max="511" width="8.140625" style="2" customWidth="1"/>
    <col min="512" max="512" width="18.28515625" style="2" customWidth="1"/>
    <col min="513" max="513" width="14.7109375" style="2" customWidth="1"/>
    <col min="514" max="514" width="11.140625" style="2" customWidth="1"/>
    <col min="515" max="515" width="14.28515625" style="2" customWidth="1"/>
    <col min="516" max="516" width="16.7109375" style="2" customWidth="1"/>
    <col min="517" max="517" width="15.7109375" style="2" customWidth="1"/>
    <col min="518" max="518" width="14.42578125" style="2" customWidth="1"/>
    <col min="519" max="519" width="16.5703125" style="2" customWidth="1"/>
    <col min="520" max="521" width="17.85546875" style="2" customWidth="1"/>
    <col min="522" max="522" width="15.7109375" style="2" customWidth="1"/>
    <col min="523" max="523" width="13.140625" style="2" customWidth="1"/>
    <col min="524" max="524" width="11.42578125" style="2" customWidth="1"/>
    <col min="525" max="525" width="8.5703125" style="2" customWidth="1"/>
    <col min="526" max="526" width="7.42578125" style="2" customWidth="1"/>
    <col min="527" max="527" width="8.5703125" style="2" customWidth="1"/>
    <col min="528" max="766" width="11.42578125" style="2"/>
    <col min="767" max="767" width="8.140625" style="2" customWidth="1"/>
    <col min="768" max="768" width="18.28515625" style="2" customWidth="1"/>
    <col min="769" max="769" width="14.7109375" style="2" customWidth="1"/>
    <col min="770" max="770" width="11.140625" style="2" customWidth="1"/>
    <col min="771" max="771" width="14.28515625" style="2" customWidth="1"/>
    <col min="772" max="772" width="16.7109375" style="2" customWidth="1"/>
    <col min="773" max="773" width="15.7109375" style="2" customWidth="1"/>
    <col min="774" max="774" width="14.42578125" style="2" customWidth="1"/>
    <col min="775" max="775" width="16.5703125" style="2" customWidth="1"/>
    <col min="776" max="777" width="17.85546875" style="2" customWidth="1"/>
    <col min="778" max="778" width="15.7109375" style="2" customWidth="1"/>
    <col min="779" max="779" width="13.140625" style="2" customWidth="1"/>
    <col min="780" max="780" width="11.42578125" style="2" customWidth="1"/>
    <col min="781" max="781" width="8.5703125" style="2" customWidth="1"/>
    <col min="782" max="782" width="7.42578125" style="2" customWidth="1"/>
    <col min="783" max="783" width="8.5703125" style="2" customWidth="1"/>
    <col min="784" max="1022" width="11.42578125" style="2"/>
    <col min="1023" max="1023" width="8.140625" style="2" customWidth="1"/>
    <col min="1024" max="1024" width="18.28515625" style="2" customWidth="1"/>
    <col min="1025" max="1025" width="14.7109375" style="2" customWidth="1"/>
    <col min="1026" max="1026" width="11.140625" style="2" customWidth="1"/>
    <col min="1027" max="1027" width="14.28515625" style="2" customWidth="1"/>
    <col min="1028" max="1028" width="16.7109375" style="2" customWidth="1"/>
    <col min="1029" max="1029" width="15.7109375" style="2" customWidth="1"/>
    <col min="1030" max="1030" width="14.42578125" style="2" customWidth="1"/>
    <col min="1031" max="1031" width="16.5703125" style="2" customWidth="1"/>
    <col min="1032" max="1033" width="17.85546875" style="2" customWidth="1"/>
    <col min="1034" max="1034" width="15.7109375" style="2" customWidth="1"/>
    <col min="1035" max="1035" width="13.140625" style="2" customWidth="1"/>
    <col min="1036" max="1036" width="11.42578125" style="2" customWidth="1"/>
    <col min="1037" max="1037" width="8.5703125" style="2" customWidth="1"/>
    <col min="1038" max="1038" width="7.42578125" style="2" customWidth="1"/>
    <col min="1039" max="1039" width="8.5703125" style="2" customWidth="1"/>
    <col min="1040" max="1278" width="11.42578125" style="2"/>
    <col min="1279" max="1279" width="8.140625" style="2" customWidth="1"/>
    <col min="1280" max="1280" width="18.28515625" style="2" customWidth="1"/>
    <col min="1281" max="1281" width="14.7109375" style="2" customWidth="1"/>
    <col min="1282" max="1282" width="11.140625" style="2" customWidth="1"/>
    <col min="1283" max="1283" width="14.28515625" style="2" customWidth="1"/>
    <col min="1284" max="1284" width="16.7109375" style="2" customWidth="1"/>
    <col min="1285" max="1285" width="15.7109375" style="2" customWidth="1"/>
    <col min="1286" max="1286" width="14.42578125" style="2" customWidth="1"/>
    <col min="1287" max="1287" width="16.5703125" style="2" customWidth="1"/>
    <col min="1288" max="1289" width="17.85546875" style="2" customWidth="1"/>
    <col min="1290" max="1290" width="15.7109375" style="2" customWidth="1"/>
    <col min="1291" max="1291" width="13.140625" style="2" customWidth="1"/>
    <col min="1292" max="1292" width="11.42578125" style="2" customWidth="1"/>
    <col min="1293" max="1293" width="8.5703125" style="2" customWidth="1"/>
    <col min="1294" max="1294" width="7.42578125" style="2" customWidth="1"/>
    <col min="1295" max="1295" width="8.5703125" style="2" customWidth="1"/>
    <col min="1296" max="1534" width="11.42578125" style="2"/>
    <col min="1535" max="1535" width="8.140625" style="2" customWidth="1"/>
    <col min="1536" max="1536" width="18.28515625" style="2" customWidth="1"/>
    <col min="1537" max="1537" width="14.7109375" style="2" customWidth="1"/>
    <col min="1538" max="1538" width="11.140625" style="2" customWidth="1"/>
    <col min="1539" max="1539" width="14.28515625" style="2" customWidth="1"/>
    <col min="1540" max="1540" width="16.7109375" style="2" customWidth="1"/>
    <col min="1541" max="1541" width="15.7109375" style="2" customWidth="1"/>
    <col min="1542" max="1542" width="14.42578125" style="2" customWidth="1"/>
    <col min="1543" max="1543" width="16.5703125" style="2" customWidth="1"/>
    <col min="1544" max="1545" width="17.85546875" style="2" customWidth="1"/>
    <col min="1546" max="1546" width="15.7109375" style="2" customWidth="1"/>
    <col min="1547" max="1547" width="13.140625" style="2" customWidth="1"/>
    <col min="1548" max="1548" width="11.42578125" style="2" customWidth="1"/>
    <col min="1549" max="1549" width="8.5703125" style="2" customWidth="1"/>
    <col min="1550" max="1550" width="7.42578125" style="2" customWidth="1"/>
    <col min="1551" max="1551" width="8.5703125" style="2" customWidth="1"/>
    <col min="1552" max="1790" width="11.42578125" style="2"/>
    <col min="1791" max="1791" width="8.140625" style="2" customWidth="1"/>
    <col min="1792" max="1792" width="18.28515625" style="2" customWidth="1"/>
    <col min="1793" max="1793" width="14.7109375" style="2" customWidth="1"/>
    <col min="1794" max="1794" width="11.140625" style="2" customWidth="1"/>
    <col min="1795" max="1795" width="14.28515625" style="2" customWidth="1"/>
    <col min="1796" max="1796" width="16.7109375" style="2" customWidth="1"/>
    <col min="1797" max="1797" width="15.7109375" style="2" customWidth="1"/>
    <col min="1798" max="1798" width="14.42578125" style="2" customWidth="1"/>
    <col min="1799" max="1799" width="16.5703125" style="2" customWidth="1"/>
    <col min="1800" max="1801" width="17.85546875" style="2" customWidth="1"/>
    <col min="1802" max="1802" width="15.7109375" style="2" customWidth="1"/>
    <col min="1803" max="1803" width="13.140625" style="2" customWidth="1"/>
    <col min="1804" max="1804" width="11.42578125" style="2" customWidth="1"/>
    <col min="1805" max="1805" width="8.5703125" style="2" customWidth="1"/>
    <col min="1806" max="1806" width="7.42578125" style="2" customWidth="1"/>
    <col min="1807" max="1807" width="8.5703125" style="2" customWidth="1"/>
    <col min="1808" max="2046" width="11.42578125" style="2"/>
    <col min="2047" max="2047" width="8.140625" style="2" customWidth="1"/>
    <col min="2048" max="2048" width="18.28515625" style="2" customWidth="1"/>
    <col min="2049" max="2049" width="14.7109375" style="2" customWidth="1"/>
    <col min="2050" max="2050" width="11.140625" style="2" customWidth="1"/>
    <col min="2051" max="2051" width="14.28515625" style="2" customWidth="1"/>
    <col min="2052" max="2052" width="16.7109375" style="2" customWidth="1"/>
    <col min="2053" max="2053" width="15.7109375" style="2" customWidth="1"/>
    <col min="2054" max="2054" width="14.42578125" style="2" customWidth="1"/>
    <col min="2055" max="2055" width="16.5703125" style="2" customWidth="1"/>
    <col min="2056" max="2057" width="17.85546875" style="2" customWidth="1"/>
    <col min="2058" max="2058" width="15.7109375" style="2" customWidth="1"/>
    <col min="2059" max="2059" width="13.140625" style="2" customWidth="1"/>
    <col min="2060" max="2060" width="11.42578125" style="2" customWidth="1"/>
    <col min="2061" max="2061" width="8.5703125" style="2" customWidth="1"/>
    <col min="2062" max="2062" width="7.42578125" style="2" customWidth="1"/>
    <col min="2063" max="2063" width="8.5703125" style="2" customWidth="1"/>
    <col min="2064" max="2302" width="11.42578125" style="2"/>
    <col min="2303" max="2303" width="8.140625" style="2" customWidth="1"/>
    <col min="2304" max="2304" width="18.28515625" style="2" customWidth="1"/>
    <col min="2305" max="2305" width="14.7109375" style="2" customWidth="1"/>
    <col min="2306" max="2306" width="11.140625" style="2" customWidth="1"/>
    <col min="2307" max="2307" width="14.28515625" style="2" customWidth="1"/>
    <col min="2308" max="2308" width="16.7109375" style="2" customWidth="1"/>
    <col min="2309" max="2309" width="15.7109375" style="2" customWidth="1"/>
    <col min="2310" max="2310" width="14.42578125" style="2" customWidth="1"/>
    <col min="2311" max="2311" width="16.5703125" style="2" customWidth="1"/>
    <col min="2312" max="2313" width="17.85546875" style="2" customWidth="1"/>
    <col min="2314" max="2314" width="15.7109375" style="2" customWidth="1"/>
    <col min="2315" max="2315" width="13.140625" style="2" customWidth="1"/>
    <col min="2316" max="2316" width="11.42578125" style="2" customWidth="1"/>
    <col min="2317" max="2317" width="8.5703125" style="2" customWidth="1"/>
    <col min="2318" max="2318" width="7.42578125" style="2" customWidth="1"/>
    <col min="2319" max="2319" width="8.5703125" style="2" customWidth="1"/>
    <col min="2320" max="2558" width="11.42578125" style="2"/>
    <col min="2559" max="2559" width="8.140625" style="2" customWidth="1"/>
    <col min="2560" max="2560" width="18.28515625" style="2" customWidth="1"/>
    <col min="2561" max="2561" width="14.7109375" style="2" customWidth="1"/>
    <col min="2562" max="2562" width="11.140625" style="2" customWidth="1"/>
    <col min="2563" max="2563" width="14.28515625" style="2" customWidth="1"/>
    <col min="2564" max="2564" width="16.7109375" style="2" customWidth="1"/>
    <col min="2565" max="2565" width="15.7109375" style="2" customWidth="1"/>
    <col min="2566" max="2566" width="14.42578125" style="2" customWidth="1"/>
    <col min="2567" max="2567" width="16.5703125" style="2" customWidth="1"/>
    <col min="2568" max="2569" width="17.85546875" style="2" customWidth="1"/>
    <col min="2570" max="2570" width="15.7109375" style="2" customWidth="1"/>
    <col min="2571" max="2571" width="13.140625" style="2" customWidth="1"/>
    <col min="2572" max="2572" width="11.42578125" style="2" customWidth="1"/>
    <col min="2573" max="2573" width="8.5703125" style="2" customWidth="1"/>
    <col min="2574" max="2574" width="7.42578125" style="2" customWidth="1"/>
    <col min="2575" max="2575" width="8.5703125" style="2" customWidth="1"/>
    <col min="2576" max="2814" width="11.42578125" style="2"/>
    <col min="2815" max="2815" width="8.140625" style="2" customWidth="1"/>
    <col min="2816" max="2816" width="18.28515625" style="2" customWidth="1"/>
    <col min="2817" max="2817" width="14.7109375" style="2" customWidth="1"/>
    <col min="2818" max="2818" width="11.140625" style="2" customWidth="1"/>
    <col min="2819" max="2819" width="14.28515625" style="2" customWidth="1"/>
    <col min="2820" max="2820" width="16.7109375" style="2" customWidth="1"/>
    <col min="2821" max="2821" width="15.7109375" style="2" customWidth="1"/>
    <col min="2822" max="2822" width="14.42578125" style="2" customWidth="1"/>
    <col min="2823" max="2823" width="16.5703125" style="2" customWidth="1"/>
    <col min="2824" max="2825" width="17.85546875" style="2" customWidth="1"/>
    <col min="2826" max="2826" width="15.7109375" style="2" customWidth="1"/>
    <col min="2827" max="2827" width="13.140625" style="2" customWidth="1"/>
    <col min="2828" max="2828" width="11.42578125" style="2" customWidth="1"/>
    <col min="2829" max="2829" width="8.5703125" style="2" customWidth="1"/>
    <col min="2830" max="2830" width="7.42578125" style="2" customWidth="1"/>
    <col min="2831" max="2831" width="8.5703125" style="2" customWidth="1"/>
    <col min="2832" max="3070" width="11.42578125" style="2"/>
    <col min="3071" max="3071" width="8.140625" style="2" customWidth="1"/>
    <col min="3072" max="3072" width="18.28515625" style="2" customWidth="1"/>
    <col min="3073" max="3073" width="14.7109375" style="2" customWidth="1"/>
    <col min="3074" max="3074" width="11.140625" style="2" customWidth="1"/>
    <col min="3075" max="3075" width="14.28515625" style="2" customWidth="1"/>
    <col min="3076" max="3076" width="16.7109375" style="2" customWidth="1"/>
    <col min="3077" max="3077" width="15.7109375" style="2" customWidth="1"/>
    <col min="3078" max="3078" width="14.42578125" style="2" customWidth="1"/>
    <col min="3079" max="3079" width="16.5703125" style="2" customWidth="1"/>
    <col min="3080" max="3081" width="17.85546875" style="2" customWidth="1"/>
    <col min="3082" max="3082" width="15.7109375" style="2" customWidth="1"/>
    <col min="3083" max="3083" width="13.140625" style="2" customWidth="1"/>
    <col min="3084" max="3084" width="11.42578125" style="2" customWidth="1"/>
    <col min="3085" max="3085" width="8.5703125" style="2" customWidth="1"/>
    <col min="3086" max="3086" width="7.42578125" style="2" customWidth="1"/>
    <col min="3087" max="3087" width="8.5703125" style="2" customWidth="1"/>
    <col min="3088" max="3326" width="11.42578125" style="2"/>
    <col min="3327" max="3327" width="8.140625" style="2" customWidth="1"/>
    <col min="3328" max="3328" width="18.28515625" style="2" customWidth="1"/>
    <col min="3329" max="3329" width="14.7109375" style="2" customWidth="1"/>
    <col min="3330" max="3330" width="11.140625" style="2" customWidth="1"/>
    <col min="3331" max="3331" width="14.28515625" style="2" customWidth="1"/>
    <col min="3332" max="3332" width="16.7109375" style="2" customWidth="1"/>
    <col min="3333" max="3333" width="15.7109375" style="2" customWidth="1"/>
    <col min="3334" max="3334" width="14.42578125" style="2" customWidth="1"/>
    <col min="3335" max="3335" width="16.5703125" style="2" customWidth="1"/>
    <col min="3336" max="3337" width="17.85546875" style="2" customWidth="1"/>
    <col min="3338" max="3338" width="15.7109375" style="2" customWidth="1"/>
    <col min="3339" max="3339" width="13.140625" style="2" customWidth="1"/>
    <col min="3340" max="3340" width="11.42578125" style="2" customWidth="1"/>
    <col min="3341" max="3341" width="8.5703125" style="2" customWidth="1"/>
    <col min="3342" max="3342" width="7.42578125" style="2" customWidth="1"/>
    <col min="3343" max="3343" width="8.5703125" style="2" customWidth="1"/>
    <col min="3344" max="3582" width="11.42578125" style="2"/>
    <col min="3583" max="3583" width="8.140625" style="2" customWidth="1"/>
    <col min="3584" max="3584" width="18.28515625" style="2" customWidth="1"/>
    <col min="3585" max="3585" width="14.7109375" style="2" customWidth="1"/>
    <col min="3586" max="3586" width="11.140625" style="2" customWidth="1"/>
    <col min="3587" max="3587" width="14.28515625" style="2" customWidth="1"/>
    <col min="3588" max="3588" width="16.7109375" style="2" customWidth="1"/>
    <col min="3589" max="3589" width="15.7109375" style="2" customWidth="1"/>
    <col min="3590" max="3590" width="14.42578125" style="2" customWidth="1"/>
    <col min="3591" max="3591" width="16.5703125" style="2" customWidth="1"/>
    <col min="3592" max="3593" width="17.85546875" style="2" customWidth="1"/>
    <col min="3594" max="3594" width="15.7109375" style="2" customWidth="1"/>
    <col min="3595" max="3595" width="13.140625" style="2" customWidth="1"/>
    <col min="3596" max="3596" width="11.42578125" style="2" customWidth="1"/>
    <col min="3597" max="3597" width="8.5703125" style="2" customWidth="1"/>
    <col min="3598" max="3598" width="7.42578125" style="2" customWidth="1"/>
    <col min="3599" max="3599" width="8.5703125" style="2" customWidth="1"/>
    <col min="3600" max="3838" width="11.42578125" style="2"/>
    <col min="3839" max="3839" width="8.140625" style="2" customWidth="1"/>
    <col min="3840" max="3840" width="18.28515625" style="2" customWidth="1"/>
    <col min="3841" max="3841" width="14.7109375" style="2" customWidth="1"/>
    <col min="3842" max="3842" width="11.140625" style="2" customWidth="1"/>
    <col min="3843" max="3843" width="14.28515625" style="2" customWidth="1"/>
    <col min="3844" max="3844" width="16.7109375" style="2" customWidth="1"/>
    <col min="3845" max="3845" width="15.7109375" style="2" customWidth="1"/>
    <col min="3846" max="3846" width="14.42578125" style="2" customWidth="1"/>
    <col min="3847" max="3847" width="16.5703125" style="2" customWidth="1"/>
    <col min="3848" max="3849" width="17.85546875" style="2" customWidth="1"/>
    <col min="3850" max="3850" width="15.7109375" style="2" customWidth="1"/>
    <col min="3851" max="3851" width="13.140625" style="2" customWidth="1"/>
    <col min="3852" max="3852" width="11.42578125" style="2" customWidth="1"/>
    <col min="3853" max="3853" width="8.5703125" style="2" customWidth="1"/>
    <col min="3854" max="3854" width="7.42578125" style="2" customWidth="1"/>
    <col min="3855" max="3855" width="8.5703125" style="2" customWidth="1"/>
    <col min="3856" max="4094" width="11.42578125" style="2"/>
    <col min="4095" max="4095" width="8.140625" style="2" customWidth="1"/>
    <col min="4096" max="4096" width="18.28515625" style="2" customWidth="1"/>
    <col min="4097" max="4097" width="14.7109375" style="2" customWidth="1"/>
    <col min="4098" max="4098" width="11.140625" style="2" customWidth="1"/>
    <col min="4099" max="4099" width="14.28515625" style="2" customWidth="1"/>
    <col min="4100" max="4100" width="16.7109375" style="2" customWidth="1"/>
    <col min="4101" max="4101" width="15.7109375" style="2" customWidth="1"/>
    <col min="4102" max="4102" width="14.42578125" style="2" customWidth="1"/>
    <col min="4103" max="4103" width="16.5703125" style="2" customWidth="1"/>
    <col min="4104" max="4105" width="17.85546875" style="2" customWidth="1"/>
    <col min="4106" max="4106" width="15.7109375" style="2" customWidth="1"/>
    <col min="4107" max="4107" width="13.140625" style="2" customWidth="1"/>
    <col min="4108" max="4108" width="11.42578125" style="2" customWidth="1"/>
    <col min="4109" max="4109" width="8.5703125" style="2" customWidth="1"/>
    <col min="4110" max="4110" width="7.42578125" style="2" customWidth="1"/>
    <col min="4111" max="4111" width="8.5703125" style="2" customWidth="1"/>
    <col min="4112" max="4350" width="11.42578125" style="2"/>
    <col min="4351" max="4351" width="8.140625" style="2" customWidth="1"/>
    <col min="4352" max="4352" width="18.28515625" style="2" customWidth="1"/>
    <col min="4353" max="4353" width="14.7109375" style="2" customWidth="1"/>
    <col min="4354" max="4354" width="11.140625" style="2" customWidth="1"/>
    <col min="4355" max="4355" width="14.28515625" style="2" customWidth="1"/>
    <col min="4356" max="4356" width="16.7109375" style="2" customWidth="1"/>
    <col min="4357" max="4357" width="15.7109375" style="2" customWidth="1"/>
    <col min="4358" max="4358" width="14.42578125" style="2" customWidth="1"/>
    <col min="4359" max="4359" width="16.5703125" style="2" customWidth="1"/>
    <col min="4360" max="4361" width="17.85546875" style="2" customWidth="1"/>
    <col min="4362" max="4362" width="15.7109375" style="2" customWidth="1"/>
    <col min="4363" max="4363" width="13.140625" style="2" customWidth="1"/>
    <col min="4364" max="4364" width="11.42578125" style="2" customWidth="1"/>
    <col min="4365" max="4365" width="8.5703125" style="2" customWidth="1"/>
    <col min="4366" max="4366" width="7.42578125" style="2" customWidth="1"/>
    <col min="4367" max="4367" width="8.5703125" style="2" customWidth="1"/>
    <col min="4368" max="4606" width="11.42578125" style="2"/>
    <col min="4607" max="4607" width="8.140625" style="2" customWidth="1"/>
    <col min="4608" max="4608" width="18.28515625" style="2" customWidth="1"/>
    <col min="4609" max="4609" width="14.7109375" style="2" customWidth="1"/>
    <col min="4610" max="4610" width="11.140625" style="2" customWidth="1"/>
    <col min="4611" max="4611" width="14.28515625" style="2" customWidth="1"/>
    <col min="4612" max="4612" width="16.7109375" style="2" customWidth="1"/>
    <col min="4613" max="4613" width="15.7109375" style="2" customWidth="1"/>
    <col min="4614" max="4614" width="14.42578125" style="2" customWidth="1"/>
    <col min="4615" max="4615" width="16.5703125" style="2" customWidth="1"/>
    <col min="4616" max="4617" width="17.85546875" style="2" customWidth="1"/>
    <col min="4618" max="4618" width="15.7109375" style="2" customWidth="1"/>
    <col min="4619" max="4619" width="13.140625" style="2" customWidth="1"/>
    <col min="4620" max="4620" width="11.42578125" style="2" customWidth="1"/>
    <col min="4621" max="4621" width="8.5703125" style="2" customWidth="1"/>
    <col min="4622" max="4622" width="7.42578125" style="2" customWidth="1"/>
    <col min="4623" max="4623" width="8.5703125" style="2" customWidth="1"/>
    <col min="4624" max="4862" width="11.42578125" style="2"/>
    <col min="4863" max="4863" width="8.140625" style="2" customWidth="1"/>
    <col min="4864" max="4864" width="18.28515625" style="2" customWidth="1"/>
    <col min="4865" max="4865" width="14.7109375" style="2" customWidth="1"/>
    <col min="4866" max="4866" width="11.140625" style="2" customWidth="1"/>
    <col min="4867" max="4867" width="14.28515625" style="2" customWidth="1"/>
    <col min="4868" max="4868" width="16.7109375" style="2" customWidth="1"/>
    <col min="4869" max="4869" width="15.7109375" style="2" customWidth="1"/>
    <col min="4870" max="4870" width="14.42578125" style="2" customWidth="1"/>
    <col min="4871" max="4871" width="16.5703125" style="2" customWidth="1"/>
    <col min="4872" max="4873" width="17.85546875" style="2" customWidth="1"/>
    <col min="4874" max="4874" width="15.7109375" style="2" customWidth="1"/>
    <col min="4875" max="4875" width="13.140625" style="2" customWidth="1"/>
    <col min="4876" max="4876" width="11.42578125" style="2" customWidth="1"/>
    <col min="4877" max="4877" width="8.5703125" style="2" customWidth="1"/>
    <col min="4878" max="4878" width="7.42578125" style="2" customWidth="1"/>
    <col min="4879" max="4879" width="8.5703125" style="2" customWidth="1"/>
    <col min="4880" max="5118" width="11.42578125" style="2"/>
    <col min="5119" max="5119" width="8.140625" style="2" customWidth="1"/>
    <col min="5120" max="5120" width="18.28515625" style="2" customWidth="1"/>
    <col min="5121" max="5121" width="14.7109375" style="2" customWidth="1"/>
    <col min="5122" max="5122" width="11.140625" style="2" customWidth="1"/>
    <col min="5123" max="5123" width="14.28515625" style="2" customWidth="1"/>
    <col min="5124" max="5124" width="16.7109375" style="2" customWidth="1"/>
    <col min="5125" max="5125" width="15.7109375" style="2" customWidth="1"/>
    <col min="5126" max="5126" width="14.42578125" style="2" customWidth="1"/>
    <col min="5127" max="5127" width="16.5703125" style="2" customWidth="1"/>
    <col min="5128" max="5129" width="17.85546875" style="2" customWidth="1"/>
    <col min="5130" max="5130" width="15.7109375" style="2" customWidth="1"/>
    <col min="5131" max="5131" width="13.140625" style="2" customWidth="1"/>
    <col min="5132" max="5132" width="11.42578125" style="2" customWidth="1"/>
    <col min="5133" max="5133" width="8.5703125" style="2" customWidth="1"/>
    <col min="5134" max="5134" width="7.42578125" style="2" customWidth="1"/>
    <col min="5135" max="5135" width="8.5703125" style="2" customWidth="1"/>
    <col min="5136" max="5374" width="11.42578125" style="2"/>
    <col min="5375" max="5375" width="8.140625" style="2" customWidth="1"/>
    <col min="5376" max="5376" width="18.28515625" style="2" customWidth="1"/>
    <col min="5377" max="5377" width="14.7109375" style="2" customWidth="1"/>
    <col min="5378" max="5378" width="11.140625" style="2" customWidth="1"/>
    <col min="5379" max="5379" width="14.28515625" style="2" customWidth="1"/>
    <col min="5380" max="5380" width="16.7109375" style="2" customWidth="1"/>
    <col min="5381" max="5381" width="15.7109375" style="2" customWidth="1"/>
    <col min="5382" max="5382" width="14.42578125" style="2" customWidth="1"/>
    <col min="5383" max="5383" width="16.5703125" style="2" customWidth="1"/>
    <col min="5384" max="5385" width="17.85546875" style="2" customWidth="1"/>
    <col min="5386" max="5386" width="15.7109375" style="2" customWidth="1"/>
    <col min="5387" max="5387" width="13.140625" style="2" customWidth="1"/>
    <col min="5388" max="5388" width="11.42578125" style="2" customWidth="1"/>
    <col min="5389" max="5389" width="8.5703125" style="2" customWidth="1"/>
    <col min="5390" max="5390" width="7.42578125" style="2" customWidth="1"/>
    <col min="5391" max="5391" width="8.5703125" style="2" customWidth="1"/>
    <col min="5392" max="5630" width="11.42578125" style="2"/>
    <col min="5631" max="5631" width="8.140625" style="2" customWidth="1"/>
    <col min="5632" max="5632" width="18.28515625" style="2" customWidth="1"/>
    <col min="5633" max="5633" width="14.7109375" style="2" customWidth="1"/>
    <col min="5634" max="5634" width="11.140625" style="2" customWidth="1"/>
    <col min="5635" max="5635" width="14.28515625" style="2" customWidth="1"/>
    <col min="5636" max="5636" width="16.7109375" style="2" customWidth="1"/>
    <col min="5637" max="5637" width="15.7109375" style="2" customWidth="1"/>
    <col min="5638" max="5638" width="14.42578125" style="2" customWidth="1"/>
    <col min="5639" max="5639" width="16.5703125" style="2" customWidth="1"/>
    <col min="5640" max="5641" width="17.85546875" style="2" customWidth="1"/>
    <col min="5642" max="5642" width="15.7109375" style="2" customWidth="1"/>
    <col min="5643" max="5643" width="13.140625" style="2" customWidth="1"/>
    <col min="5644" max="5644" width="11.42578125" style="2" customWidth="1"/>
    <col min="5645" max="5645" width="8.5703125" style="2" customWidth="1"/>
    <col min="5646" max="5646" width="7.42578125" style="2" customWidth="1"/>
    <col min="5647" max="5647" width="8.5703125" style="2" customWidth="1"/>
    <col min="5648" max="5886" width="11.42578125" style="2"/>
    <col min="5887" max="5887" width="8.140625" style="2" customWidth="1"/>
    <col min="5888" max="5888" width="18.28515625" style="2" customWidth="1"/>
    <col min="5889" max="5889" width="14.7109375" style="2" customWidth="1"/>
    <col min="5890" max="5890" width="11.140625" style="2" customWidth="1"/>
    <col min="5891" max="5891" width="14.28515625" style="2" customWidth="1"/>
    <col min="5892" max="5892" width="16.7109375" style="2" customWidth="1"/>
    <col min="5893" max="5893" width="15.7109375" style="2" customWidth="1"/>
    <col min="5894" max="5894" width="14.42578125" style="2" customWidth="1"/>
    <col min="5895" max="5895" width="16.5703125" style="2" customWidth="1"/>
    <col min="5896" max="5897" width="17.85546875" style="2" customWidth="1"/>
    <col min="5898" max="5898" width="15.7109375" style="2" customWidth="1"/>
    <col min="5899" max="5899" width="13.140625" style="2" customWidth="1"/>
    <col min="5900" max="5900" width="11.42578125" style="2" customWidth="1"/>
    <col min="5901" max="5901" width="8.5703125" style="2" customWidth="1"/>
    <col min="5902" max="5902" width="7.42578125" style="2" customWidth="1"/>
    <col min="5903" max="5903" width="8.5703125" style="2" customWidth="1"/>
    <col min="5904" max="6142" width="11.42578125" style="2"/>
    <col min="6143" max="6143" width="8.140625" style="2" customWidth="1"/>
    <col min="6144" max="6144" width="18.28515625" style="2" customWidth="1"/>
    <col min="6145" max="6145" width="14.7109375" style="2" customWidth="1"/>
    <col min="6146" max="6146" width="11.140625" style="2" customWidth="1"/>
    <col min="6147" max="6147" width="14.28515625" style="2" customWidth="1"/>
    <col min="6148" max="6148" width="16.7109375" style="2" customWidth="1"/>
    <col min="6149" max="6149" width="15.7109375" style="2" customWidth="1"/>
    <col min="6150" max="6150" width="14.42578125" style="2" customWidth="1"/>
    <col min="6151" max="6151" width="16.5703125" style="2" customWidth="1"/>
    <col min="6152" max="6153" width="17.85546875" style="2" customWidth="1"/>
    <col min="6154" max="6154" width="15.7109375" style="2" customWidth="1"/>
    <col min="6155" max="6155" width="13.140625" style="2" customWidth="1"/>
    <col min="6156" max="6156" width="11.42578125" style="2" customWidth="1"/>
    <col min="6157" max="6157" width="8.5703125" style="2" customWidth="1"/>
    <col min="6158" max="6158" width="7.42578125" style="2" customWidth="1"/>
    <col min="6159" max="6159" width="8.5703125" style="2" customWidth="1"/>
    <col min="6160" max="6398" width="11.42578125" style="2"/>
    <col min="6399" max="6399" width="8.140625" style="2" customWidth="1"/>
    <col min="6400" max="6400" width="18.28515625" style="2" customWidth="1"/>
    <col min="6401" max="6401" width="14.7109375" style="2" customWidth="1"/>
    <col min="6402" max="6402" width="11.140625" style="2" customWidth="1"/>
    <col min="6403" max="6403" width="14.28515625" style="2" customWidth="1"/>
    <col min="6404" max="6404" width="16.7109375" style="2" customWidth="1"/>
    <col min="6405" max="6405" width="15.7109375" style="2" customWidth="1"/>
    <col min="6406" max="6406" width="14.42578125" style="2" customWidth="1"/>
    <col min="6407" max="6407" width="16.5703125" style="2" customWidth="1"/>
    <col min="6408" max="6409" width="17.85546875" style="2" customWidth="1"/>
    <col min="6410" max="6410" width="15.7109375" style="2" customWidth="1"/>
    <col min="6411" max="6411" width="13.140625" style="2" customWidth="1"/>
    <col min="6412" max="6412" width="11.42578125" style="2" customWidth="1"/>
    <col min="6413" max="6413" width="8.5703125" style="2" customWidth="1"/>
    <col min="6414" max="6414" width="7.42578125" style="2" customWidth="1"/>
    <col min="6415" max="6415" width="8.5703125" style="2" customWidth="1"/>
    <col min="6416" max="6654" width="11.42578125" style="2"/>
    <col min="6655" max="6655" width="8.140625" style="2" customWidth="1"/>
    <col min="6656" max="6656" width="18.28515625" style="2" customWidth="1"/>
    <col min="6657" max="6657" width="14.7109375" style="2" customWidth="1"/>
    <col min="6658" max="6658" width="11.140625" style="2" customWidth="1"/>
    <col min="6659" max="6659" width="14.28515625" style="2" customWidth="1"/>
    <col min="6660" max="6660" width="16.7109375" style="2" customWidth="1"/>
    <col min="6661" max="6661" width="15.7109375" style="2" customWidth="1"/>
    <col min="6662" max="6662" width="14.42578125" style="2" customWidth="1"/>
    <col min="6663" max="6663" width="16.5703125" style="2" customWidth="1"/>
    <col min="6664" max="6665" width="17.85546875" style="2" customWidth="1"/>
    <col min="6666" max="6666" width="15.7109375" style="2" customWidth="1"/>
    <col min="6667" max="6667" width="13.140625" style="2" customWidth="1"/>
    <col min="6668" max="6668" width="11.42578125" style="2" customWidth="1"/>
    <col min="6669" max="6669" width="8.5703125" style="2" customWidth="1"/>
    <col min="6670" max="6670" width="7.42578125" style="2" customWidth="1"/>
    <col min="6671" max="6671" width="8.5703125" style="2" customWidth="1"/>
    <col min="6672" max="6910" width="11.42578125" style="2"/>
    <col min="6911" max="6911" width="8.140625" style="2" customWidth="1"/>
    <col min="6912" max="6912" width="18.28515625" style="2" customWidth="1"/>
    <col min="6913" max="6913" width="14.7109375" style="2" customWidth="1"/>
    <col min="6914" max="6914" width="11.140625" style="2" customWidth="1"/>
    <col min="6915" max="6915" width="14.28515625" style="2" customWidth="1"/>
    <col min="6916" max="6916" width="16.7109375" style="2" customWidth="1"/>
    <col min="6917" max="6917" width="15.7109375" style="2" customWidth="1"/>
    <col min="6918" max="6918" width="14.42578125" style="2" customWidth="1"/>
    <col min="6919" max="6919" width="16.5703125" style="2" customWidth="1"/>
    <col min="6920" max="6921" width="17.85546875" style="2" customWidth="1"/>
    <col min="6922" max="6922" width="15.7109375" style="2" customWidth="1"/>
    <col min="6923" max="6923" width="13.140625" style="2" customWidth="1"/>
    <col min="6924" max="6924" width="11.42578125" style="2" customWidth="1"/>
    <col min="6925" max="6925" width="8.5703125" style="2" customWidth="1"/>
    <col min="6926" max="6926" width="7.42578125" style="2" customWidth="1"/>
    <col min="6927" max="6927" width="8.5703125" style="2" customWidth="1"/>
    <col min="6928" max="7166" width="11.42578125" style="2"/>
    <col min="7167" max="7167" width="8.140625" style="2" customWidth="1"/>
    <col min="7168" max="7168" width="18.28515625" style="2" customWidth="1"/>
    <col min="7169" max="7169" width="14.7109375" style="2" customWidth="1"/>
    <col min="7170" max="7170" width="11.140625" style="2" customWidth="1"/>
    <col min="7171" max="7171" width="14.28515625" style="2" customWidth="1"/>
    <col min="7172" max="7172" width="16.7109375" style="2" customWidth="1"/>
    <col min="7173" max="7173" width="15.7109375" style="2" customWidth="1"/>
    <col min="7174" max="7174" width="14.42578125" style="2" customWidth="1"/>
    <col min="7175" max="7175" width="16.5703125" style="2" customWidth="1"/>
    <col min="7176" max="7177" width="17.85546875" style="2" customWidth="1"/>
    <col min="7178" max="7178" width="15.7109375" style="2" customWidth="1"/>
    <col min="7179" max="7179" width="13.140625" style="2" customWidth="1"/>
    <col min="7180" max="7180" width="11.42578125" style="2" customWidth="1"/>
    <col min="7181" max="7181" width="8.5703125" style="2" customWidth="1"/>
    <col min="7182" max="7182" width="7.42578125" style="2" customWidth="1"/>
    <col min="7183" max="7183" width="8.5703125" style="2" customWidth="1"/>
    <col min="7184" max="7422" width="11.42578125" style="2"/>
    <col min="7423" max="7423" width="8.140625" style="2" customWidth="1"/>
    <col min="7424" max="7424" width="18.28515625" style="2" customWidth="1"/>
    <col min="7425" max="7425" width="14.7109375" style="2" customWidth="1"/>
    <col min="7426" max="7426" width="11.140625" style="2" customWidth="1"/>
    <col min="7427" max="7427" width="14.28515625" style="2" customWidth="1"/>
    <col min="7428" max="7428" width="16.7109375" style="2" customWidth="1"/>
    <col min="7429" max="7429" width="15.7109375" style="2" customWidth="1"/>
    <col min="7430" max="7430" width="14.42578125" style="2" customWidth="1"/>
    <col min="7431" max="7431" width="16.5703125" style="2" customWidth="1"/>
    <col min="7432" max="7433" width="17.85546875" style="2" customWidth="1"/>
    <col min="7434" max="7434" width="15.7109375" style="2" customWidth="1"/>
    <col min="7435" max="7435" width="13.140625" style="2" customWidth="1"/>
    <col min="7436" max="7436" width="11.42578125" style="2" customWidth="1"/>
    <col min="7437" max="7437" width="8.5703125" style="2" customWidth="1"/>
    <col min="7438" max="7438" width="7.42578125" style="2" customWidth="1"/>
    <col min="7439" max="7439" width="8.5703125" style="2" customWidth="1"/>
    <col min="7440" max="7678" width="11.42578125" style="2"/>
    <col min="7679" max="7679" width="8.140625" style="2" customWidth="1"/>
    <col min="7680" max="7680" width="18.28515625" style="2" customWidth="1"/>
    <col min="7681" max="7681" width="14.7109375" style="2" customWidth="1"/>
    <col min="7682" max="7682" width="11.140625" style="2" customWidth="1"/>
    <col min="7683" max="7683" width="14.28515625" style="2" customWidth="1"/>
    <col min="7684" max="7684" width="16.7109375" style="2" customWidth="1"/>
    <col min="7685" max="7685" width="15.7109375" style="2" customWidth="1"/>
    <col min="7686" max="7686" width="14.42578125" style="2" customWidth="1"/>
    <col min="7687" max="7687" width="16.5703125" style="2" customWidth="1"/>
    <col min="7688" max="7689" width="17.85546875" style="2" customWidth="1"/>
    <col min="7690" max="7690" width="15.7109375" style="2" customWidth="1"/>
    <col min="7691" max="7691" width="13.140625" style="2" customWidth="1"/>
    <col min="7692" max="7692" width="11.42578125" style="2" customWidth="1"/>
    <col min="7693" max="7693" width="8.5703125" style="2" customWidth="1"/>
    <col min="7694" max="7694" width="7.42578125" style="2" customWidth="1"/>
    <col min="7695" max="7695" width="8.5703125" style="2" customWidth="1"/>
    <col min="7696" max="7934" width="11.42578125" style="2"/>
    <col min="7935" max="7935" width="8.140625" style="2" customWidth="1"/>
    <col min="7936" max="7936" width="18.28515625" style="2" customWidth="1"/>
    <col min="7937" max="7937" width="14.7109375" style="2" customWidth="1"/>
    <col min="7938" max="7938" width="11.140625" style="2" customWidth="1"/>
    <col min="7939" max="7939" width="14.28515625" style="2" customWidth="1"/>
    <col min="7940" max="7940" width="16.7109375" style="2" customWidth="1"/>
    <col min="7941" max="7941" width="15.7109375" style="2" customWidth="1"/>
    <col min="7942" max="7942" width="14.42578125" style="2" customWidth="1"/>
    <col min="7943" max="7943" width="16.5703125" style="2" customWidth="1"/>
    <col min="7944" max="7945" width="17.85546875" style="2" customWidth="1"/>
    <col min="7946" max="7946" width="15.7109375" style="2" customWidth="1"/>
    <col min="7947" max="7947" width="13.140625" style="2" customWidth="1"/>
    <col min="7948" max="7948" width="11.42578125" style="2" customWidth="1"/>
    <col min="7949" max="7949" width="8.5703125" style="2" customWidth="1"/>
    <col min="7950" max="7950" width="7.42578125" style="2" customWidth="1"/>
    <col min="7951" max="7951" width="8.5703125" style="2" customWidth="1"/>
    <col min="7952" max="8190" width="11.42578125" style="2"/>
    <col min="8191" max="8191" width="8.140625" style="2" customWidth="1"/>
    <col min="8192" max="8192" width="18.28515625" style="2" customWidth="1"/>
    <col min="8193" max="8193" width="14.7109375" style="2" customWidth="1"/>
    <col min="8194" max="8194" width="11.140625" style="2" customWidth="1"/>
    <col min="8195" max="8195" width="14.28515625" style="2" customWidth="1"/>
    <col min="8196" max="8196" width="16.7109375" style="2" customWidth="1"/>
    <col min="8197" max="8197" width="15.7109375" style="2" customWidth="1"/>
    <col min="8198" max="8198" width="14.42578125" style="2" customWidth="1"/>
    <col min="8199" max="8199" width="16.5703125" style="2" customWidth="1"/>
    <col min="8200" max="8201" width="17.85546875" style="2" customWidth="1"/>
    <col min="8202" max="8202" width="15.7109375" style="2" customWidth="1"/>
    <col min="8203" max="8203" width="13.140625" style="2" customWidth="1"/>
    <col min="8204" max="8204" width="11.42578125" style="2" customWidth="1"/>
    <col min="8205" max="8205" width="8.5703125" style="2" customWidth="1"/>
    <col min="8206" max="8206" width="7.42578125" style="2" customWidth="1"/>
    <col min="8207" max="8207" width="8.5703125" style="2" customWidth="1"/>
    <col min="8208" max="8446" width="11.42578125" style="2"/>
    <col min="8447" max="8447" width="8.140625" style="2" customWidth="1"/>
    <col min="8448" max="8448" width="18.28515625" style="2" customWidth="1"/>
    <col min="8449" max="8449" width="14.7109375" style="2" customWidth="1"/>
    <col min="8450" max="8450" width="11.140625" style="2" customWidth="1"/>
    <col min="8451" max="8451" width="14.28515625" style="2" customWidth="1"/>
    <col min="8452" max="8452" width="16.7109375" style="2" customWidth="1"/>
    <col min="8453" max="8453" width="15.7109375" style="2" customWidth="1"/>
    <col min="8454" max="8454" width="14.42578125" style="2" customWidth="1"/>
    <col min="8455" max="8455" width="16.5703125" style="2" customWidth="1"/>
    <col min="8456" max="8457" width="17.85546875" style="2" customWidth="1"/>
    <col min="8458" max="8458" width="15.7109375" style="2" customWidth="1"/>
    <col min="8459" max="8459" width="13.140625" style="2" customWidth="1"/>
    <col min="8460" max="8460" width="11.42578125" style="2" customWidth="1"/>
    <col min="8461" max="8461" width="8.5703125" style="2" customWidth="1"/>
    <col min="8462" max="8462" width="7.42578125" style="2" customWidth="1"/>
    <col min="8463" max="8463" width="8.5703125" style="2" customWidth="1"/>
    <col min="8464" max="8702" width="11.42578125" style="2"/>
    <col min="8703" max="8703" width="8.140625" style="2" customWidth="1"/>
    <col min="8704" max="8704" width="18.28515625" style="2" customWidth="1"/>
    <col min="8705" max="8705" width="14.7109375" style="2" customWidth="1"/>
    <col min="8706" max="8706" width="11.140625" style="2" customWidth="1"/>
    <col min="8707" max="8707" width="14.28515625" style="2" customWidth="1"/>
    <col min="8708" max="8708" width="16.7109375" style="2" customWidth="1"/>
    <col min="8709" max="8709" width="15.7109375" style="2" customWidth="1"/>
    <col min="8710" max="8710" width="14.42578125" style="2" customWidth="1"/>
    <col min="8711" max="8711" width="16.5703125" style="2" customWidth="1"/>
    <col min="8712" max="8713" width="17.85546875" style="2" customWidth="1"/>
    <col min="8714" max="8714" width="15.7109375" style="2" customWidth="1"/>
    <col min="8715" max="8715" width="13.140625" style="2" customWidth="1"/>
    <col min="8716" max="8716" width="11.42578125" style="2" customWidth="1"/>
    <col min="8717" max="8717" width="8.5703125" style="2" customWidth="1"/>
    <col min="8718" max="8718" width="7.42578125" style="2" customWidth="1"/>
    <col min="8719" max="8719" width="8.5703125" style="2" customWidth="1"/>
    <col min="8720" max="8958" width="11.42578125" style="2"/>
    <col min="8959" max="8959" width="8.140625" style="2" customWidth="1"/>
    <col min="8960" max="8960" width="18.28515625" style="2" customWidth="1"/>
    <col min="8961" max="8961" width="14.7109375" style="2" customWidth="1"/>
    <col min="8962" max="8962" width="11.140625" style="2" customWidth="1"/>
    <col min="8963" max="8963" width="14.28515625" style="2" customWidth="1"/>
    <col min="8964" max="8964" width="16.7109375" style="2" customWidth="1"/>
    <col min="8965" max="8965" width="15.7109375" style="2" customWidth="1"/>
    <col min="8966" max="8966" width="14.42578125" style="2" customWidth="1"/>
    <col min="8967" max="8967" width="16.5703125" style="2" customWidth="1"/>
    <col min="8968" max="8969" width="17.85546875" style="2" customWidth="1"/>
    <col min="8970" max="8970" width="15.7109375" style="2" customWidth="1"/>
    <col min="8971" max="8971" width="13.140625" style="2" customWidth="1"/>
    <col min="8972" max="8972" width="11.42578125" style="2" customWidth="1"/>
    <col min="8973" max="8973" width="8.5703125" style="2" customWidth="1"/>
    <col min="8974" max="8974" width="7.42578125" style="2" customWidth="1"/>
    <col min="8975" max="8975" width="8.5703125" style="2" customWidth="1"/>
    <col min="8976" max="9214" width="11.42578125" style="2"/>
    <col min="9215" max="9215" width="8.140625" style="2" customWidth="1"/>
    <col min="9216" max="9216" width="18.28515625" style="2" customWidth="1"/>
    <col min="9217" max="9217" width="14.7109375" style="2" customWidth="1"/>
    <col min="9218" max="9218" width="11.140625" style="2" customWidth="1"/>
    <col min="9219" max="9219" width="14.28515625" style="2" customWidth="1"/>
    <col min="9220" max="9220" width="16.7109375" style="2" customWidth="1"/>
    <col min="9221" max="9221" width="15.7109375" style="2" customWidth="1"/>
    <col min="9222" max="9222" width="14.42578125" style="2" customWidth="1"/>
    <col min="9223" max="9223" width="16.5703125" style="2" customWidth="1"/>
    <col min="9224" max="9225" width="17.85546875" style="2" customWidth="1"/>
    <col min="9226" max="9226" width="15.7109375" style="2" customWidth="1"/>
    <col min="9227" max="9227" width="13.140625" style="2" customWidth="1"/>
    <col min="9228" max="9228" width="11.42578125" style="2" customWidth="1"/>
    <col min="9229" max="9229" width="8.5703125" style="2" customWidth="1"/>
    <col min="9230" max="9230" width="7.42578125" style="2" customWidth="1"/>
    <col min="9231" max="9231" width="8.5703125" style="2" customWidth="1"/>
    <col min="9232" max="9470" width="11.42578125" style="2"/>
    <col min="9471" max="9471" width="8.140625" style="2" customWidth="1"/>
    <col min="9472" max="9472" width="18.28515625" style="2" customWidth="1"/>
    <col min="9473" max="9473" width="14.7109375" style="2" customWidth="1"/>
    <col min="9474" max="9474" width="11.140625" style="2" customWidth="1"/>
    <col min="9475" max="9475" width="14.28515625" style="2" customWidth="1"/>
    <col min="9476" max="9476" width="16.7109375" style="2" customWidth="1"/>
    <col min="9477" max="9477" width="15.7109375" style="2" customWidth="1"/>
    <col min="9478" max="9478" width="14.42578125" style="2" customWidth="1"/>
    <col min="9479" max="9479" width="16.5703125" style="2" customWidth="1"/>
    <col min="9480" max="9481" width="17.85546875" style="2" customWidth="1"/>
    <col min="9482" max="9482" width="15.7109375" style="2" customWidth="1"/>
    <col min="9483" max="9483" width="13.140625" style="2" customWidth="1"/>
    <col min="9484" max="9484" width="11.42578125" style="2" customWidth="1"/>
    <col min="9485" max="9485" width="8.5703125" style="2" customWidth="1"/>
    <col min="9486" max="9486" width="7.42578125" style="2" customWidth="1"/>
    <col min="9487" max="9487" width="8.5703125" style="2" customWidth="1"/>
    <col min="9488" max="9726" width="11.42578125" style="2"/>
    <col min="9727" max="9727" width="8.140625" style="2" customWidth="1"/>
    <col min="9728" max="9728" width="18.28515625" style="2" customWidth="1"/>
    <col min="9729" max="9729" width="14.7109375" style="2" customWidth="1"/>
    <col min="9730" max="9730" width="11.140625" style="2" customWidth="1"/>
    <col min="9731" max="9731" width="14.28515625" style="2" customWidth="1"/>
    <col min="9732" max="9732" width="16.7109375" style="2" customWidth="1"/>
    <col min="9733" max="9733" width="15.7109375" style="2" customWidth="1"/>
    <col min="9734" max="9734" width="14.42578125" style="2" customWidth="1"/>
    <col min="9735" max="9735" width="16.5703125" style="2" customWidth="1"/>
    <col min="9736" max="9737" width="17.85546875" style="2" customWidth="1"/>
    <col min="9738" max="9738" width="15.7109375" style="2" customWidth="1"/>
    <col min="9739" max="9739" width="13.140625" style="2" customWidth="1"/>
    <col min="9740" max="9740" width="11.42578125" style="2" customWidth="1"/>
    <col min="9741" max="9741" width="8.5703125" style="2" customWidth="1"/>
    <col min="9742" max="9742" width="7.42578125" style="2" customWidth="1"/>
    <col min="9743" max="9743" width="8.5703125" style="2" customWidth="1"/>
    <col min="9744" max="9982" width="11.42578125" style="2"/>
    <col min="9983" max="9983" width="8.140625" style="2" customWidth="1"/>
    <col min="9984" max="9984" width="18.28515625" style="2" customWidth="1"/>
    <col min="9985" max="9985" width="14.7109375" style="2" customWidth="1"/>
    <col min="9986" max="9986" width="11.140625" style="2" customWidth="1"/>
    <col min="9987" max="9987" width="14.28515625" style="2" customWidth="1"/>
    <col min="9988" max="9988" width="16.7109375" style="2" customWidth="1"/>
    <col min="9989" max="9989" width="15.7109375" style="2" customWidth="1"/>
    <col min="9990" max="9990" width="14.42578125" style="2" customWidth="1"/>
    <col min="9991" max="9991" width="16.5703125" style="2" customWidth="1"/>
    <col min="9992" max="9993" width="17.85546875" style="2" customWidth="1"/>
    <col min="9994" max="9994" width="15.7109375" style="2" customWidth="1"/>
    <col min="9995" max="9995" width="13.140625" style="2" customWidth="1"/>
    <col min="9996" max="9996" width="11.42578125" style="2" customWidth="1"/>
    <col min="9997" max="9997" width="8.5703125" style="2" customWidth="1"/>
    <col min="9998" max="9998" width="7.42578125" style="2" customWidth="1"/>
    <col min="9999" max="9999" width="8.5703125" style="2" customWidth="1"/>
    <col min="10000" max="10238" width="11.42578125" style="2"/>
    <col min="10239" max="10239" width="8.140625" style="2" customWidth="1"/>
    <col min="10240" max="10240" width="18.28515625" style="2" customWidth="1"/>
    <col min="10241" max="10241" width="14.7109375" style="2" customWidth="1"/>
    <col min="10242" max="10242" width="11.140625" style="2" customWidth="1"/>
    <col min="10243" max="10243" width="14.28515625" style="2" customWidth="1"/>
    <col min="10244" max="10244" width="16.7109375" style="2" customWidth="1"/>
    <col min="10245" max="10245" width="15.7109375" style="2" customWidth="1"/>
    <col min="10246" max="10246" width="14.42578125" style="2" customWidth="1"/>
    <col min="10247" max="10247" width="16.5703125" style="2" customWidth="1"/>
    <col min="10248" max="10249" width="17.85546875" style="2" customWidth="1"/>
    <col min="10250" max="10250" width="15.7109375" style="2" customWidth="1"/>
    <col min="10251" max="10251" width="13.140625" style="2" customWidth="1"/>
    <col min="10252" max="10252" width="11.42578125" style="2" customWidth="1"/>
    <col min="10253" max="10253" width="8.5703125" style="2" customWidth="1"/>
    <col min="10254" max="10254" width="7.42578125" style="2" customWidth="1"/>
    <col min="10255" max="10255" width="8.5703125" style="2" customWidth="1"/>
    <col min="10256" max="10494" width="11.42578125" style="2"/>
    <col min="10495" max="10495" width="8.140625" style="2" customWidth="1"/>
    <col min="10496" max="10496" width="18.28515625" style="2" customWidth="1"/>
    <col min="10497" max="10497" width="14.7109375" style="2" customWidth="1"/>
    <col min="10498" max="10498" width="11.140625" style="2" customWidth="1"/>
    <col min="10499" max="10499" width="14.28515625" style="2" customWidth="1"/>
    <col min="10500" max="10500" width="16.7109375" style="2" customWidth="1"/>
    <col min="10501" max="10501" width="15.7109375" style="2" customWidth="1"/>
    <col min="10502" max="10502" width="14.42578125" style="2" customWidth="1"/>
    <col min="10503" max="10503" width="16.5703125" style="2" customWidth="1"/>
    <col min="10504" max="10505" width="17.85546875" style="2" customWidth="1"/>
    <col min="10506" max="10506" width="15.7109375" style="2" customWidth="1"/>
    <col min="10507" max="10507" width="13.140625" style="2" customWidth="1"/>
    <col min="10508" max="10508" width="11.42578125" style="2" customWidth="1"/>
    <col min="10509" max="10509" width="8.5703125" style="2" customWidth="1"/>
    <col min="10510" max="10510" width="7.42578125" style="2" customWidth="1"/>
    <col min="10511" max="10511" width="8.5703125" style="2" customWidth="1"/>
    <col min="10512" max="10750" width="11.42578125" style="2"/>
    <col min="10751" max="10751" width="8.140625" style="2" customWidth="1"/>
    <col min="10752" max="10752" width="18.28515625" style="2" customWidth="1"/>
    <col min="10753" max="10753" width="14.7109375" style="2" customWidth="1"/>
    <col min="10754" max="10754" width="11.140625" style="2" customWidth="1"/>
    <col min="10755" max="10755" width="14.28515625" style="2" customWidth="1"/>
    <col min="10756" max="10756" width="16.7109375" style="2" customWidth="1"/>
    <col min="10757" max="10757" width="15.7109375" style="2" customWidth="1"/>
    <col min="10758" max="10758" width="14.42578125" style="2" customWidth="1"/>
    <col min="10759" max="10759" width="16.5703125" style="2" customWidth="1"/>
    <col min="10760" max="10761" width="17.85546875" style="2" customWidth="1"/>
    <col min="10762" max="10762" width="15.7109375" style="2" customWidth="1"/>
    <col min="10763" max="10763" width="13.140625" style="2" customWidth="1"/>
    <col min="10764" max="10764" width="11.42578125" style="2" customWidth="1"/>
    <col min="10765" max="10765" width="8.5703125" style="2" customWidth="1"/>
    <col min="10766" max="10766" width="7.42578125" style="2" customWidth="1"/>
    <col min="10767" max="10767" width="8.5703125" style="2" customWidth="1"/>
    <col min="10768" max="11006" width="11.42578125" style="2"/>
    <col min="11007" max="11007" width="8.140625" style="2" customWidth="1"/>
    <col min="11008" max="11008" width="18.28515625" style="2" customWidth="1"/>
    <col min="11009" max="11009" width="14.7109375" style="2" customWidth="1"/>
    <col min="11010" max="11010" width="11.140625" style="2" customWidth="1"/>
    <col min="11011" max="11011" width="14.28515625" style="2" customWidth="1"/>
    <col min="11012" max="11012" width="16.7109375" style="2" customWidth="1"/>
    <col min="11013" max="11013" width="15.7109375" style="2" customWidth="1"/>
    <col min="11014" max="11014" width="14.42578125" style="2" customWidth="1"/>
    <col min="11015" max="11015" width="16.5703125" style="2" customWidth="1"/>
    <col min="11016" max="11017" width="17.85546875" style="2" customWidth="1"/>
    <col min="11018" max="11018" width="15.7109375" style="2" customWidth="1"/>
    <col min="11019" max="11019" width="13.140625" style="2" customWidth="1"/>
    <col min="11020" max="11020" width="11.42578125" style="2" customWidth="1"/>
    <col min="11021" max="11021" width="8.5703125" style="2" customWidth="1"/>
    <col min="11022" max="11022" width="7.42578125" style="2" customWidth="1"/>
    <col min="11023" max="11023" width="8.5703125" style="2" customWidth="1"/>
    <col min="11024" max="11262" width="11.42578125" style="2"/>
    <col min="11263" max="11263" width="8.140625" style="2" customWidth="1"/>
    <col min="11264" max="11264" width="18.28515625" style="2" customWidth="1"/>
    <col min="11265" max="11265" width="14.7109375" style="2" customWidth="1"/>
    <col min="11266" max="11266" width="11.140625" style="2" customWidth="1"/>
    <col min="11267" max="11267" width="14.28515625" style="2" customWidth="1"/>
    <col min="11268" max="11268" width="16.7109375" style="2" customWidth="1"/>
    <col min="11269" max="11269" width="15.7109375" style="2" customWidth="1"/>
    <col min="11270" max="11270" width="14.42578125" style="2" customWidth="1"/>
    <col min="11271" max="11271" width="16.5703125" style="2" customWidth="1"/>
    <col min="11272" max="11273" width="17.85546875" style="2" customWidth="1"/>
    <col min="11274" max="11274" width="15.7109375" style="2" customWidth="1"/>
    <col min="11275" max="11275" width="13.140625" style="2" customWidth="1"/>
    <col min="11276" max="11276" width="11.42578125" style="2" customWidth="1"/>
    <col min="11277" max="11277" width="8.5703125" style="2" customWidth="1"/>
    <col min="11278" max="11278" width="7.42578125" style="2" customWidth="1"/>
    <col min="11279" max="11279" width="8.5703125" style="2" customWidth="1"/>
    <col min="11280" max="11518" width="11.42578125" style="2"/>
    <col min="11519" max="11519" width="8.140625" style="2" customWidth="1"/>
    <col min="11520" max="11520" width="18.28515625" style="2" customWidth="1"/>
    <col min="11521" max="11521" width="14.7109375" style="2" customWidth="1"/>
    <col min="11522" max="11522" width="11.140625" style="2" customWidth="1"/>
    <col min="11523" max="11523" width="14.28515625" style="2" customWidth="1"/>
    <col min="11524" max="11524" width="16.7109375" style="2" customWidth="1"/>
    <col min="11525" max="11525" width="15.7109375" style="2" customWidth="1"/>
    <col min="11526" max="11526" width="14.42578125" style="2" customWidth="1"/>
    <col min="11527" max="11527" width="16.5703125" style="2" customWidth="1"/>
    <col min="11528" max="11529" width="17.85546875" style="2" customWidth="1"/>
    <col min="11530" max="11530" width="15.7109375" style="2" customWidth="1"/>
    <col min="11531" max="11531" width="13.140625" style="2" customWidth="1"/>
    <col min="11532" max="11532" width="11.42578125" style="2" customWidth="1"/>
    <col min="11533" max="11533" width="8.5703125" style="2" customWidth="1"/>
    <col min="11534" max="11534" width="7.42578125" style="2" customWidth="1"/>
    <col min="11535" max="11535" width="8.5703125" style="2" customWidth="1"/>
    <col min="11536" max="11774" width="11.42578125" style="2"/>
    <col min="11775" max="11775" width="8.140625" style="2" customWidth="1"/>
    <col min="11776" max="11776" width="18.28515625" style="2" customWidth="1"/>
    <col min="11777" max="11777" width="14.7109375" style="2" customWidth="1"/>
    <col min="11778" max="11778" width="11.140625" style="2" customWidth="1"/>
    <col min="11779" max="11779" width="14.28515625" style="2" customWidth="1"/>
    <col min="11780" max="11780" width="16.7109375" style="2" customWidth="1"/>
    <col min="11781" max="11781" width="15.7109375" style="2" customWidth="1"/>
    <col min="11782" max="11782" width="14.42578125" style="2" customWidth="1"/>
    <col min="11783" max="11783" width="16.5703125" style="2" customWidth="1"/>
    <col min="11784" max="11785" width="17.85546875" style="2" customWidth="1"/>
    <col min="11786" max="11786" width="15.7109375" style="2" customWidth="1"/>
    <col min="11787" max="11787" width="13.140625" style="2" customWidth="1"/>
    <col min="11788" max="11788" width="11.42578125" style="2" customWidth="1"/>
    <col min="11789" max="11789" width="8.5703125" style="2" customWidth="1"/>
    <col min="11790" max="11790" width="7.42578125" style="2" customWidth="1"/>
    <col min="11791" max="11791" width="8.5703125" style="2" customWidth="1"/>
    <col min="11792" max="12030" width="11.42578125" style="2"/>
    <col min="12031" max="12031" width="8.140625" style="2" customWidth="1"/>
    <col min="12032" max="12032" width="18.28515625" style="2" customWidth="1"/>
    <col min="12033" max="12033" width="14.7109375" style="2" customWidth="1"/>
    <col min="12034" max="12034" width="11.140625" style="2" customWidth="1"/>
    <col min="12035" max="12035" width="14.28515625" style="2" customWidth="1"/>
    <col min="12036" max="12036" width="16.7109375" style="2" customWidth="1"/>
    <col min="12037" max="12037" width="15.7109375" style="2" customWidth="1"/>
    <col min="12038" max="12038" width="14.42578125" style="2" customWidth="1"/>
    <col min="12039" max="12039" width="16.5703125" style="2" customWidth="1"/>
    <col min="12040" max="12041" width="17.85546875" style="2" customWidth="1"/>
    <col min="12042" max="12042" width="15.7109375" style="2" customWidth="1"/>
    <col min="12043" max="12043" width="13.140625" style="2" customWidth="1"/>
    <col min="12044" max="12044" width="11.42578125" style="2" customWidth="1"/>
    <col min="12045" max="12045" width="8.5703125" style="2" customWidth="1"/>
    <col min="12046" max="12046" width="7.42578125" style="2" customWidth="1"/>
    <col min="12047" max="12047" width="8.5703125" style="2" customWidth="1"/>
    <col min="12048" max="12286" width="11.42578125" style="2"/>
    <col min="12287" max="12287" width="8.140625" style="2" customWidth="1"/>
    <col min="12288" max="12288" width="18.28515625" style="2" customWidth="1"/>
    <col min="12289" max="12289" width="14.7109375" style="2" customWidth="1"/>
    <col min="12290" max="12290" width="11.140625" style="2" customWidth="1"/>
    <col min="12291" max="12291" width="14.28515625" style="2" customWidth="1"/>
    <col min="12292" max="12292" width="16.7109375" style="2" customWidth="1"/>
    <col min="12293" max="12293" width="15.7109375" style="2" customWidth="1"/>
    <col min="12294" max="12294" width="14.42578125" style="2" customWidth="1"/>
    <col min="12295" max="12295" width="16.5703125" style="2" customWidth="1"/>
    <col min="12296" max="12297" width="17.85546875" style="2" customWidth="1"/>
    <col min="12298" max="12298" width="15.7109375" style="2" customWidth="1"/>
    <col min="12299" max="12299" width="13.140625" style="2" customWidth="1"/>
    <col min="12300" max="12300" width="11.42578125" style="2" customWidth="1"/>
    <col min="12301" max="12301" width="8.5703125" style="2" customWidth="1"/>
    <col min="12302" max="12302" width="7.42578125" style="2" customWidth="1"/>
    <col min="12303" max="12303" width="8.5703125" style="2" customWidth="1"/>
    <col min="12304" max="12542" width="11.42578125" style="2"/>
    <col min="12543" max="12543" width="8.140625" style="2" customWidth="1"/>
    <col min="12544" max="12544" width="18.28515625" style="2" customWidth="1"/>
    <col min="12545" max="12545" width="14.7109375" style="2" customWidth="1"/>
    <col min="12546" max="12546" width="11.140625" style="2" customWidth="1"/>
    <col min="12547" max="12547" width="14.28515625" style="2" customWidth="1"/>
    <col min="12548" max="12548" width="16.7109375" style="2" customWidth="1"/>
    <col min="12549" max="12549" width="15.7109375" style="2" customWidth="1"/>
    <col min="12550" max="12550" width="14.42578125" style="2" customWidth="1"/>
    <col min="12551" max="12551" width="16.5703125" style="2" customWidth="1"/>
    <col min="12552" max="12553" width="17.85546875" style="2" customWidth="1"/>
    <col min="12554" max="12554" width="15.7109375" style="2" customWidth="1"/>
    <col min="12555" max="12555" width="13.140625" style="2" customWidth="1"/>
    <col min="12556" max="12556" width="11.42578125" style="2" customWidth="1"/>
    <col min="12557" max="12557" width="8.5703125" style="2" customWidth="1"/>
    <col min="12558" max="12558" width="7.42578125" style="2" customWidth="1"/>
    <col min="12559" max="12559" width="8.5703125" style="2" customWidth="1"/>
    <col min="12560" max="12798" width="11.42578125" style="2"/>
    <col min="12799" max="12799" width="8.140625" style="2" customWidth="1"/>
    <col min="12800" max="12800" width="18.28515625" style="2" customWidth="1"/>
    <col min="12801" max="12801" width="14.7109375" style="2" customWidth="1"/>
    <col min="12802" max="12802" width="11.140625" style="2" customWidth="1"/>
    <col min="12803" max="12803" width="14.28515625" style="2" customWidth="1"/>
    <col min="12804" max="12804" width="16.7109375" style="2" customWidth="1"/>
    <col min="12805" max="12805" width="15.7109375" style="2" customWidth="1"/>
    <col min="12806" max="12806" width="14.42578125" style="2" customWidth="1"/>
    <col min="12807" max="12807" width="16.5703125" style="2" customWidth="1"/>
    <col min="12808" max="12809" width="17.85546875" style="2" customWidth="1"/>
    <col min="12810" max="12810" width="15.7109375" style="2" customWidth="1"/>
    <col min="12811" max="12811" width="13.140625" style="2" customWidth="1"/>
    <col min="12812" max="12812" width="11.42578125" style="2" customWidth="1"/>
    <col min="12813" max="12813" width="8.5703125" style="2" customWidth="1"/>
    <col min="12814" max="12814" width="7.42578125" style="2" customWidth="1"/>
    <col min="12815" max="12815" width="8.5703125" style="2" customWidth="1"/>
    <col min="12816" max="13054" width="11.42578125" style="2"/>
    <col min="13055" max="13055" width="8.140625" style="2" customWidth="1"/>
    <col min="13056" max="13056" width="18.28515625" style="2" customWidth="1"/>
    <col min="13057" max="13057" width="14.7109375" style="2" customWidth="1"/>
    <col min="13058" max="13058" width="11.140625" style="2" customWidth="1"/>
    <col min="13059" max="13059" width="14.28515625" style="2" customWidth="1"/>
    <col min="13060" max="13060" width="16.7109375" style="2" customWidth="1"/>
    <col min="13061" max="13061" width="15.7109375" style="2" customWidth="1"/>
    <col min="13062" max="13062" width="14.42578125" style="2" customWidth="1"/>
    <col min="13063" max="13063" width="16.5703125" style="2" customWidth="1"/>
    <col min="13064" max="13065" width="17.85546875" style="2" customWidth="1"/>
    <col min="13066" max="13066" width="15.7109375" style="2" customWidth="1"/>
    <col min="13067" max="13067" width="13.140625" style="2" customWidth="1"/>
    <col min="13068" max="13068" width="11.42578125" style="2" customWidth="1"/>
    <col min="13069" max="13069" width="8.5703125" style="2" customWidth="1"/>
    <col min="13070" max="13070" width="7.42578125" style="2" customWidth="1"/>
    <col min="13071" max="13071" width="8.5703125" style="2" customWidth="1"/>
    <col min="13072" max="13310" width="11.42578125" style="2"/>
    <col min="13311" max="13311" width="8.140625" style="2" customWidth="1"/>
    <col min="13312" max="13312" width="18.28515625" style="2" customWidth="1"/>
    <col min="13313" max="13313" width="14.7109375" style="2" customWidth="1"/>
    <col min="13314" max="13314" width="11.140625" style="2" customWidth="1"/>
    <col min="13315" max="13315" width="14.28515625" style="2" customWidth="1"/>
    <col min="13316" max="13316" width="16.7109375" style="2" customWidth="1"/>
    <col min="13317" max="13317" width="15.7109375" style="2" customWidth="1"/>
    <col min="13318" max="13318" width="14.42578125" style="2" customWidth="1"/>
    <col min="13319" max="13319" width="16.5703125" style="2" customWidth="1"/>
    <col min="13320" max="13321" width="17.85546875" style="2" customWidth="1"/>
    <col min="13322" max="13322" width="15.7109375" style="2" customWidth="1"/>
    <col min="13323" max="13323" width="13.140625" style="2" customWidth="1"/>
    <col min="13324" max="13324" width="11.42578125" style="2" customWidth="1"/>
    <col min="13325" max="13325" width="8.5703125" style="2" customWidth="1"/>
    <col min="13326" max="13326" width="7.42578125" style="2" customWidth="1"/>
    <col min="13327" max="13327" width="8.5703125" style="2" customWidth="1"/>
    <col min="13328" max="13566" width="11.42578125" style="2"/>
    <col min="13567" max="13567" width="8.140625" style="2" customWidth="1"/>
    <col min="13568" max="13568" width="18.28515625" style="2" customWidth="1"/>
    <col min="13569" max="13569" width="14.7109375" style="2" customWidth="1"/>
    <col min="13570" max="13570" width="11.140625" style="2" customWidth="1"/>
    <col min="13571" max="13571" width="14.28515625" style="2" customWidth="1"/>
    <col min="13572" max="13572" width="16.7109375" style="2" customWidth="1"/>
    <col min="13573" max="13573" width="15.7109375" style="2" customWidth="1"/>
    <col min="13574" max="13574" width="14.42578125" style="2" customWidth="1"/>
    <col min="13575" max="13575" width="16.5703125" style="2" customWidth="1"/>
    <col min="13576" max="13577" width="17.85546875" style="2" customWidth="1"/>
    <col min="13578" max="13578" width="15.7109375" style="2" customWidth="1"/>
    <col min="13579" max="13579" width="13.140625" style="2" customWidth="1"/>
    <col min="13580" max="13580" width="11.42578125" style="2" customWidth="1"/>
    <col min="13581" max="13581" width="8.5703125" style="2" customWidth="1"/>
    <col min="13582" max="13582" width="7.42578125" style="2" customWidth="1"/>
    <col min="13583" max="13583" width="8.5703125" style="2" customWidth="1"/>
    <col min="13584" max="13822" width="11.42578125" style="2"/>
    <col min="13823" max="13823" width="8.140625" style="2" customWidth="1"/>
    <col min="13824" max="13824" width="18.28515625" style="2" customWidth="1"/>
    <col min="13825" max="13825" width="14.7109375" style="2" customWidth="1"/>
    <col min="13826" max="13826" width="11.140625" style="2" customWidth="1"/>
    <col min="13827" max="13827" width="14.28515625" style="2" customWidth="1"/>
    <col min="13828" max="13828" width="16.7109375" style="2" customWidth="1"/>
    <col min="13829" max="13829" width="15.7109375" style="2" customWidth="1"/>
    <col min="13830" max="13830" width="14.42578125" style="2" customWidth="1"/>
    <col min="13831" max="13831" width="16.5703125" style="2" customWidth="1"/>
    <col min="13832" max="13833" width="17.85546875" style="2" customWidth="1"/>
    <col min="13834" max="13834" width="15.7109375" style="2" customWidth="1"/>
    <col min="13835" max="13835" width="13.140625" style="2" customWidth="1"/>
    <col min="13836" max="13836" width="11.42578125" style="2" customWidth="1"/>
    <col min="13837" max="13837" width="8.5703125" style="2" customWidth="1"/>
    <col min="13838" max="13838" width="7.42578125" style="2" customWidth="1"/>
    <col min="13839" max="13839" width="8.5703125" style="2" customWidth="1"/>
    <col min="13840" max="14078" width="11.42578125" style="2"/>
    <col min="14079" max="14079" width="8.140625" style="2" customWidth="1"/>
    <col min="14080" max="14080" width="18.28515625" style="2" customWidth="1"/>
    <col min="14081" max="14081" width="14.7109375" style="2" customWidth="1"/>
    <col min="14082" max="14082" width="11.140625" style="2" customWidth="1"/>
    <col min="14083" max="14083" width="14.28515625" style="2" customWidth="1"/>
    <col min="14084" max="14084" width="16.7109375" style="2" customWidth="1"/>
    <col min="14085" max="14085" width="15.7109375" style="2" customWidth="1"/>
    <col min="14086" max="14086" width="14.42578125" style="2" customWidth="1"/>
    <col min="14087" max="14087" width="16.5703125" style="2" customWidth="1"/>
    <col min="14088" max="14089" width="17.85546875" style="2" customWidth="1"/>
    <col min="14090" max="14090" width="15.7109375" style="2" customWidth="1"/>
    <col min="14091" max="14091" width="13.140625" style="2" customWidth="1"/>
    <col min="14092" max="14092" width="11.42578125" style="2" customWidth="1"/>
    <col min="14093" max="14093" width="8.5703125" style="2" customWidth="1"/>
    <col min="14094" max="14094" width="7.42578125" style="2" customWidth="1"/>
    <col min="14095" max="14095" width="8.5703125" style="2" customWidth="1"/>
    <col min="14096" max="14334" width="11.42578125" style="2"/>
    <col min="14335" max="14335" width="8.140625" style="2" customWidth="1"/>
    <col min="14336" max="14336" width="18.28515625" style="2" customWidth="1"/>
    <col min="14337" max="14337" width="14.7109375" style="2" customWidth="1"/>
    <col min="14338" max="14338" width="11.140625" style="2" customWidth="1"/>
    <col min="14339" max="14339" width="14.28515625" style="2" customWidth="1"/>
    <col min="14340" max="14340" width="16.7109375" style="2" customWidth="1"/>
    <col min="14341" max="14341" width="15.7109375" style="2" customWidth="1"/>
    <col min="14342" max="14342" width="14.42578125" style="2" customWidth="1"/>
    <col min="14343" max="14343" width="16.5703125" style="2" customWidth="1"/>
    <col min="14344" max="14345" width="17.85546875" style="2" customWidth="1"/>
    <col min="14346" max="14346" width="15.7109375" style="2" customWidth="1"/>
    <col min="14347" max="14347" width="13.140625" style="2" customWidth="1"/>
    <col min="14348" max="14348" width="11.42578125" style="2" customWidth="1"/>
    <col min="14349" max="14349" width="8.5703125" style="2" customWidth="1"/>
    <col min="14350" max="14350" width="7.42578125" style="2" customWidth="1"/>
    <col min="14351" max="14351" width="8.5703125" style="2" customWidth="1"/>
    <col min="14352" max="14590" width="11.42578125" style="2"/>
    <col min="14591" max="14591" width="8.140625" style="2" customWidth="1"/>
    <col min="14592" max="14592" width="18.28515625" style="2" customWidth="1"/>
    <col min="14593" max="14593" width="14.7109375" style="2" customWidth="1"/>
    <col min="14594" max="14594" width="11.140625" style="2" customWidth="1"/>
    <col min="14595" max="14595" width="14.28515625" style="2" customWidth="1"/>
    <col min="14596" max="14596" width="16.7109375" style="2" customWidth="1"/>
    <col min="14597" max="14597" width="15.7109375" style="2" customWidth="1"/>
    <col min="14598" max="14598" width="14.42578125" style="2" customWidth="1"/>
    <col min="14599" max="14599" width="16.5703125" style="2" customWidth="1"/>
    <col min="14600" max="14601" width="17.85546875" style="2" customWidth="1"/>
    <col min="14602" max="14602" width="15.7109375" style="2" customWidth="1"/>
    <col min="14603" max="14603" width="13.140625" style="2" customWidth="1"/>
    <col min="14604" max="14604" width="11.42578125" style="2" customWidth="1"/>
    <col min="14605" max="14605" width="8.5703125" style="2" customWidth="1"/>
    <col min="14606" max="14606" width="7.42578125" style="2" customWidth="1"/>
    <col min="14607" max="14607" width="8.5703125" style="2" customWidth="1"/>
    <col min="14608" max="14846" width="11.42578125" style="2"/>
    <col min="14847" max="14847" width="8.140625" style="2" customWidth="1"/>
    <col min="14848" max="14848" width="18.28515625" style="2" customWidth="1"/>
    <col min="14849" max="14849" width="14.7109375" style="2" customWidth="1"/>
    <col min="14850" max="14850" width="11.140625" style="2" customWidth="1"/>
    <col min="14851" max="14851" width="14.28515625" style="2" customWidth="1"/>
    <col min="14852" max="14852" width="16.7109375" style="2" customWidth="1"/>
    <col min="14853" max="14853" width="15.7109375" style="2" customWidth="1"/>
    <col min="14854" max="14854" width="14.42578125" style="2" customWidth="1"/>
    <col min="14855" max="14855" width="16.5703125" style="2" customWidth="1"/>
    <col min="14856" max="14857" width="17.85546875" style="2" customWidth="1"/>
    <col min="14858" max="14858" width="15.7109375" style="2" customWidth="1"/>
    <col min="14859" max="14859" width="13.140625" style="2" customWidth="1"/>
    <col min="14860" max="14860" width="11.42578125" style="2" customWidth="1"/>
    <col min="14861" max="14861" width="8.5703125" style="2" customWidth="1"/>
    <col min="14862" max="14862" width="7.42578125" style="2" customWidth="1"/>
    <col min="14863" max="14863" width="8.5703125" style="2" customWidth="1"/>
    <col min="14864" max="15102" width="11.42578125" style="2"/>
    <col min="15103" max="15103" width="8.140625" style="2" customWidth="1"/>
    <col min="15104" max="15104" width="18.28515625" style="2" customWidth="1"/>
    <col min="15105" max="15105" width="14.7109375" style="2" customWidth="1"/>
    <col min="15106" max="15106" width="11.140625" style="2" customWidth="1"/>
    <col min="15107" max="15107" width="14.28515625" style="2" customWidth="1"/>
    <col min="15108" max="15108" width="16.7109375" style="2" customWidth="1"/>
    <col min="15109" max="15109" width="15.7109375" style="2" customWidth="1"/>
    <col min="15110" max="15110" width="14.42578125" style="2" customWidth="1"/>
    <col min="15111" max="15111" width="16.5703125" style="2" customWidth="1"/>
    <col min="15112" max="15113" width="17.85546875" style="2" customWidth="1"/>
    <col min="15114" max="15114" width="15.7109375" style="2" customWidth="1"/>
    <col min="15115" max="15115" width="13.140625" style="2" customWidth="1"/>
    <col min="15116" max="15116" width="11.42578125" style="2" customWidth="1"/>
    <col min="15117" max="15117" width="8.5703125" style="2" customWidth="1"/>
    <col min="15118" max="15118" width="7.42578125" style="2" customWidth="1"/>
    <col min="15119" max="15119" width="8.5703125" style="2" customWidth="1"/>
    <col min="15120" max="15358" width="11.42578125" style="2"/>
    <col min="15359" max="15359" width="8.140625" style="2" customWidth="1"/>
    <col min="15360" max="15360" width="18.28515625" style="2" customWidth="1"/>
    <col min="15361" max="15361" width="14.7109375" style="2" customWidth="1"/>
    <col min="15362" max="15362" width="11.140625" style="2" customWidth="1"/>
    <col min="15363" max="15363" width="14.28515625" style="2" customWidth="1"/>
    <col min="15364" max="15364" width="16.7109375" style="2" customWidth="1"/>
    <col min="15365" max="15365" width="15.7109375" style="2" customWidth="1"/>
    <col min="15366" max="15366" width="14.42578125" style="2" customWidth="1"/>
    <col min="15367" max="15367" width="16.5703125" style="2" customWidth="1"/>
    <col min="15368" max="15369" width="17.85546875" style="2" customWidth="1"/>
    <col min="15370" max="15370" width="15.7109375" style="2" customWidth="1"/>
    <col min="15371" max="15371" width="13.140625" style="2" customWidth="1"/>
    <col min="15372" max="15372" width="11.42578125" style="2" customWidth="1"/>
    <col min="15373" max="15373" width="8.5703125" style="2" customWidth="1"/>
    <col min="15374" max="15374" width="7.42578125" style="2" customWidth="1"/>
    <col min="15375" max="15375" width="8.5703125" style="2" customWidth="1"/>
    <col min="15376" max="15614" width="11.42578125" style="2"/>
    <col min="15615" max="15615" width="8.140625" style="2" customWidth="1"/>
    <col min="15616" max="15616" width="18.28515625" style="2" customWidth="1"/>
    <col min="15617" max="15617" width="14.7109375" style="2" customWidth="1"/>
    <col min="15618" max="15618" width="11.140625" style="2" customWidth="1"/>
    <col min="15619" max="15619" width="14.28515625" style="2" customWidth="1"/>
    <col min="15620" max="15620" width="16.7109375" style="2" customWidth="1"/>
    <col min="15621" max="15621" width="15.7109375" style="2" customWidth="1"/>
    <col min="15622" max="15622" width="14.42578125" style="2" customWidth="1"/>
    <col min="15623" max="15623" width="16.5703125" style="2" customWidth="1"/>
    <col min="15624" max="15625" width="17.85546875" style="2" customWidth="1"/>
    <col min="15626" max="15626" width="15.7109375" style="2" customWidth="1"/>
    <col min="15627" max="15627" width="13.140625" style="2" customWidth="1"/>
    <col min="15628" max="15628" width="11.42578125" style="2" customWidth="1"/>
    <col min="15629" max="15629" width="8.5703125" style="2" customWidth="1"/>
    <col min="15630" max="15630" width="7.42578125" style="2" customWidth="1"/>
    <col min="15631" max="15631" width="8.5703125" style="2" customWidth="1"/>
    <col min="15632" max="15870" width="11.42578125" style="2"/>
    <col min="15871" max="15871" width="8.140625" style="2" customWidth="1"/>
    <col min="15872" max="15872" width="18.28515625" style="2" customWidth="1"/>
    <col min="15873" max="15873" width="14.7109375" style="2" customWidth="1"/>
    <col min="15874" max="15874" width="11.140625" style="2" customWidth="1"/>
    <col min="15875" max="15875" width="14.28515625" style="2" customWidth="1"/>
    <col min="15876" max="15876" width="16.7109375" style="2" customWidth="1"/>
    <col min="15877" max="15877" width="15.7109375" style="2" customWidth="1"/>
    <col min="15878" max="15878" width="14.42578125" style="2" customWidth="1"/>
    <col min="15879" max="15879" width="16.5703125" style="2" customWidth="1"/>
    <col min="15880" max="15881" width="17.85546875" style="2" customWidth="1"/>
    <col min="15882" max="15882" width="15.7109375" style="2" customWidth="1"/>
    <col min="15883" max="15883" width="13.140625" style="2" customWidth="1"/>
    <col min="15884" max="15884" width="11.42578125" style="2" customWidth="1"/>
    <col min="15885" max="15885" width="8.5703125" style="2" customWidth="1"/>
    <col min="15886" max="15886" width="7.42578125" style="2" customWidth="1"/>
    <col min="15887" max="15887" width="8.5703125" style="2" customWidth="1"/>
    <col min="15888" max="16126" width="11.42578125" style="2"/>
    <col min="16127" max="16127" width="8.140625" style="2" customWidth="1"/>
    <col min="16128" max="16128" width="18.28515625" style="2" customWidth="1"/>
    <col min="16129" max="16129" width="14.7109375" style="2" customWidth="1"/>
    <col min="16130" max="16130" width="11.140625" style="2" customWidth="1"/>
    <col min="16131" max="16131" width="14.28515625" style="2" customWidth="1"/>
    <col min="16132" max="16132" width="16.7109375" style="2" customWidth="1"/>
    <col min="16133" max="16133" width="15.7109375" style="2" customWidth="1"/>
    <col min="16134" max="16134" width="14.42578125" style="2" customWidth="1"/>
    <col min="16135" max="16135" width="16.5703125" style="2" customWidth="1"/>
    <col min="16136" max="16137" width="17.85546875" style="2" customWidth="1"/>
    <col min="16138" max="16138" width="15.7109375" style="2" customWidth="1"/>
    <col min="16139" max="16139" width="13.140625" style="2" customWidth="1"/>
    <col min="16140" max="16140" width="11.42578125" style="2" customWidth="1"/>
    <col min="16141" max="16141" width="8.5703125" style="2" customWidth="1"/>
    <col min="16142" max="16142" width="7.42578125" style="2" customWidth="1"/>
    <col min="16143" max="16143" width="8.5703125" style="2" customWidth="1"/>
    <col min="16144" max="16384" width="11.42578125" style="2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13.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78.75" customHeight="1" thickBot="1" x14ac:dyDescent="0.3">
      <c r="A6" s="39" t="s">
        <v>5</v>
      </c>
      <c r="B6" s="39" t="s">
        <v>6</v>
      </c>
      <c r="C6" s="40" t="s">
        <v>7</v>
      </c>
      <c r="D6" s="41" t="s">
        <v>8</v>
      </c>
      <c r="E6" s="39" t="s">
        <v>9</v>
      </c>
      <c r="F6" s="39" t="s">
        <v>10</v>
      </c>
      <c r="G6" s="42" t="s">
        <v>11</v>
      </c>
      <c r="H6" s="42" t="s">
        <v>12</v>
      </c>
      <c r="I6" s="42" t="s">
        <v>13</v>
      </c>
      <c r="J6" s="39" t="s">
        <v>14</v>
      </c>
      <c r="K6" s="39" t="s">
        <v>15</v>
      </c>
      <c r="L6" s="39" t="s">
        <v>16</v>
      </c>
      <c r="M6" s="42" t="s">
        <v>17</v>
      </c>
      <c r="N6" s="42" t="s">
        <v>18</v>
      </c>
      <c r="O6" s="43" t="s">
        <v>19</v>
      </c>
    </row>
    <row r="7" spans="1:16" s="10" customFormat="1" ht="10.5" customHeight="1" x14ac:dyDescent="0.25">
      <c r="A7" s="4" t="s">
        <v>20</v>
      </c>
      <c r="B7" s="5"/>
      <c r="C7" s="6">
        <f>SUM(C8+C20+C56+C88+C95)</f>
        <v>2249202</v>
      </c>
      <c r="D7" s="7">
        <f t="shared" ref="D7:N7" si="0">SUM(D8+D20+D56+D88+D95)</f>
        <v>-309484</v>
      </c>
      <c r="E7" s="6">
        <f>SUM(E8+E20+E56+E88+E95)</f>
        <v>1939718</v>
      </c>
      <c r="F7" s="6">
        <f t="shared" si="0"/>
        <v>1388202</v>
      </c>
      <c r="G7" s="6">
        <f t="shared" si="0"/>
        <v>108211.8</v>
      </c>
      <c r="H7" s="6">
        <f t="shared" si="0"/>
        <v>802895.58000000019</v>
      </c>
      <c r="I7" s="6">
        <f t="shared" si="0"/>
        <v>1215526.9800000002</v>
      </c>
      <c r="J7" s="6">
        <f t="shared" si="0"/>
        <v>280886.81999999989</v>
      </c>
      <c r="K7" s="6">
        <f t="shared" si="0"/>
        <v>724191.0199999999</v>
      </c>
      <c r="L7" s="6">
        <f>SUM(L8+L20+L56+L88+L95)</f>
        <v>551516</v>
      </c>
      <c r="M7" s="6">
        <f t="shared" si="0"/>
        <v>623381.66000000015</v>
      </c>
      <c r="N7" s="6">
        <f t="shared" si="0"/>
        <v>592145.32000000007</v>
      </c>
      <c r="O7" s="8">
        <f>SUM(H7/F7)*100%</f>
        <v>0.57837085669088517</v>
      </c>
      <c r="P7" s="9"/>
    </row>
    <row r="8" spans="1:16" s="10" customFormat="1" ht="10.5" customHeight="1" x14ac:dyDescent="0.25">
      <c r="A8" s="11" t="s">
        <v>21</v>
      </c>
      <c r="B8" s="5"/>
      <c r="C8" s="12">
        <f>SUM(C9:C19)</f>
        <v>1620928</v>
      </c>
      <c r="D8" s="13">
        <f t="shared" ref="D8:I8" si="1">SUM(D9:D19)</f>
        <v>-32515</v>
      </c>
      <c r="E8" s="5">
        <f t="shared" si="1"/>
        <v>1588413</v>
      </c>
      <c r="F8" s="5">
        <f t="shared" si="1"/>
        <v>1037897</v>
      </c>
      <c r="G8" s="14">
        <f t="shared" si="1"/>
        <v>0</v>
      </c>
      <c r="H8" s="14">
        <f t="shared" si="1"/>
        <v>672782.32000000007</v>
      </c>
      <c r="I8" s="14">
        <f t="shared" si="1"/>
        <v>938611.70000000007</v>
      </c>
      <c r="J8" s="5">
        <f>SUM(F8-I8)</f>
        <v>99285.29999999993</v>
      </c>
      <c r="K8" s="5">
        <f>SUM(E8-I8)</f>
        <v>649801.29999999993</v>
      </c>
      <c r="L8" s="5">
        <f>SUM(E8-F8)</f>
        <v>550516</v>
      </c>
      <c r="M8" s="14">
        <f>SUM(M9:M19)</f>
        <v>591027.60000000009</v>
      </c>
      <c r="N8" s="10">
        <f>SUM(I8-M8)</f>
        <v>347584.1</v>
      </c>
      <c r="O8" s="15">
        <f>SUM(H8/F8)*100%</f>
        <v>0.64821684618030506</v>
      </c>
      <c r="P8" s="16"/>
    </row>
    <row r="9" spans="1:16" ht="10.5" customHeight="1" x14ac:dyDescent="0.25">
      <c r="A9" s="17" t="s">
        <v>22</v>
      </c>
      <c r="B9" s="18" t="s">
        <v>23</v>
      </c>
      <c r="C9" s="19">
        <v>1302240</v>
      </c>
      <c r="D9" s="20">
        <v>-34370</v>
      </c>
      <c r="E9" s="18">
        <v>1267870</v>
      </c>
      <c r="F9" s="18">
        <f>SUM(787667+26507+17603)</f>
        <v>831777</v>
      </c>
      <c r="G9" s="21">
        <v>0</v>
      </c>
      <c r="H9" s="21">
        <f>SUM(371513.32+83900.32+92332.01)</f>
        <v>547745.65</v>
      </c>
      <c r="I9" s="21">
        <f>SUM(758156.66+55417.65)</f>
        <v>813574.31</v>
      </c>
      <c r="J9" s="18">
        <f>SUM(F9-I9)</f>
        <v>18202.689999999944</v>
      </c>
      <c r="K9" s="18">
        <f>SUM(E9-I9)</f>
        <v>454295.68999999994</v>
      </c>
      <c r="L9" s="18">
        <f>SUM(E9-F9)</f>
        <v>436093</v>
      </c>
      <c r="M9" s="21">
        <f>SUM(260232.05+41671.65+185670.76)</f>
        <v>487574.46</v>
      </c>
      <c r="N9" s="2">
        <f>SUM(I9-M9)</f>
        <v>325999.85000000003</v>
      </c>
      <c r="O9" s="22">
        <f>SUM(H9/F9*100%)</f>
        <v>0.65852464061881977</v>
      </c>
      <c r="P9" s="9"/>
    </row>
    <row r="10" spans="1:16" ht="10.5" customHeight="1" x14ac:dyDescent="0.25">
      <c r="A10" s="17" t="s">
        <v>24</v>
      </c>
      <c r="B10" s="18" t="s">
        <v>25</v>
      </c>
      <c r="C10" s="19">
        <v>54000</v>
      </c>
      <c r="D10" s="20">
        <v>-500</v>
      </c>
      <c r="E10" s="18">
        <v>53500</v>
      </c>
      <c r="F10" s="18">
        <f>SUM(22000+4500+4500)</f>
        <v>31000</v>
      </c>
      <c r="G10" s="21">
        <v>0</v>
      </c>
      <c r="H10" s="21">
        <f>SUM(17000+3000+3000)</f>
        <v>23000</v>
      </c>
      <c r="I10" s="21">
        <f>SUM(20000+3000)</f>
        <v>23000</v>
      </c>
      <c r="J10" s="18">
        <f t="shared" ref="J10:J19" si="2">SUM(F10-I10)</f>
        <v>8000</v>
      </c>
      <c r="K10" s="18">
        <f t="shared" ref="K10:K73" si="3">SUM(E10-I10)</f>
        <v>30500</v>
      </c>
      <c r="L10" s="18">
        <f t="shared" ref="L10:L73" si="4">SUM(E10-F10)</f>
        <v>22500</v>
      </c>
      <c r="M10" s="21">
        <f>SUM(14920.82+1276.68+4722.82)</f>
        <v>20920.32</v>
      </c>
      <c r="N10" s="2">
        <f t="shared" ref="N10:N73" si="5">SUM(I10-M10)</f>
        <v>2079.6800000000003</v>
      </c>
      <c r="O10" s="22">
        <f t="shared" ref="O10:O73" si="6">SUM(H10/F10*100%)</f>
        <v>0.74193548387096775</v>
      </c>
    </row>
    <row r="11" spans="1:16" ht="10.5" customHeight="1" x14ac:dyDescent="0.25">
      <c r="A11" s="17" t="s">
        <v>26</v>
      </c>
      <c r="B11" s="18" t="s">
        <v>27</v>
      </c>
      <c r="C11" s="19">
        <v>36850</v>
      </c>
      <c r="D11" s="20">
        <v>0</v>
      </c>
      <c r="E11" s="18">
        <v>36850</v>
      </c>
      <c r="F11" s="18">
        <f>SUM(13000+13000)</f>
        <v>26000</v>
      </c>
      <c r="G11" s="21">
        <v>0</v>
      </c>
      <c r="H11" s="21">
        <v>9163.4500000000007</v>
      </c>
      <c r="I11" s="21">
        <v>9163.4500000000007</v>
      </c>
      <c r="J11" s="18">
        <f t="shared" si="2"/>
        <v>16836.55</v>
      </c>
      <c r="K11" s="18">
        <f t="shared" si="3"/>
        <v>27686.55</v>
      </c>
      <c r="L11" s="18">
        <f t="shared" si="4"/>
        <v>10850</v>
      </c>
      <c r="M11" s="21">
        <v>8444.14</v>
      </c>
      <c r="N11" s="2">
        <f t="shared" si="5"/>
        <v>719.31000000000131</v>
      </c>
      <c r="O11" s="22">
        <f t="shared" si="6"/>
        <v>0.35244038461538463</v>
      </c>
    </row>
    <row r="12" spans="1:16" ht="10.5" customHeight="1" x14ac:dyDescent="0.25">
      <c r="A12" s="17" t="s">
        <v>28</v>
      </c>
      <c r="B12" s="18" t="s">
        <v>29</v>
      </c>
      <c r="C12" s="19">
        <v>174511</v>
      </c>
      <c r="D12" s="20">
        <v>-13678</v>
      </c>
      <c r="E12" s="18">
        <v>160833</v>
      </c>
      <c r="F12" s="18">
        <f>SUM(59037+14543+14543)</f>
        <v>88123</v>
      </c>
      <c r="G12" s="21">
        <v>0</v>
      </c>
      <c r="H12" s="21">
        <f>SUM(38346.57+9376.95+10645.2)</f>
        <v>58368.72</v>
      </c>
      <c r="I12" s="21">
        <f>SUM(41113.24+6611+10645.2)</f>
        <v>58369.440000000002</v>
      </c>
      <c r="J12" s="18">
        <f t="shared" si="2"/>
        <v>29753.559999999998</v>
      </c>
      <c r="K12" s="18">
        <f t="shared" si="3"/>
        <v>102463.56</v>
      </c>
      <c r="L12" s="18">
        <f t="shared" si="4"/>
        <v>72710</v>
      </c>
      <c r="M12" s="21">
        <f>SUM(27033.3+20289.47)</f>
        <v>47322.770000000004</v>
      </c>
      <c r="N12" s="2">
        <f t="shared" si="5"/>
        <v>11046.669999999998</v>
      </c>
      <c r="O12" s="22">
        <f t="shared" si="6"/>
        <v>0.66235511727925744</v>
      </c>
    </row>
    <row r="13" spans="1:16" ht="10.5" customHeight="1" x14ac:dyDescent="0.25">
      <c r="A13" s="17" t="s">
        <v>30</v>
      </c>
      <c r="B13" s="18" t="s">
        <v>31</v>
      </c>
      <c r="C13" s="19">
        <v>20074</v>
      </c>
      <c r="D13" s="20">
        <v>-1530</v>
      </c>
      <c r="E13" s="18">
        <v>18544</v>
      </c>
      <c r="F13" s="18">
        <f>SUM(6835+1673+1673)</f>
        <v>10181</v>
      </c>
      <c r="G13" s="21">
        <v>0</v>
      </c>
      <c r="H13" s="21">
        <f>SUM(4377.21+1103.47+1257.98)</f>
        <v>6738.66</v>
      </c>
      <c r="I13" s="21">
        <f>SUM(4757.63+723+1257.98)</f>
        <v>6738.6100000000006</v>
      </c>
      <c r="J13" s="18">
        <f t="shared" si="2"/>
        <v>3442.3899999999994</v>
      </c>
      <c r="K13" s="18">
        <f t="shared" si="3"/>
        <v>11805.39</v>
      </c>
      <c r="L13" s="18">
        <f t="shared" si="4"/>
        <v>8363</v>
      </c>
      <c r="M13" s="21">
        <f>SUM(3152.7+2286.27)</f>
        <v>5438.9699999999993</v>
      </c>
      <c r="N13" s="2">
        <f t="shared" si="5"/>
        <v>1299.6400000000012</v>
      </c>
      <c r="O13" s="22">
        <f t="shared" si="6"/>
        <v>0.66188586582850406</v>
      </c>
    </row>
    <row r="14" spans="1:16" ht="10.5" customHeight="1" x14ac:dyDescent="0.25">
      <c r="A14" s="17" t="s">
        <v>32</v>
      </c>
      <c r="B14" s="18" t="s">
        <v>33</v>
      </c>
      <c r="C14" s="19">
        <v>29238</v>
      </c>
      <c r="D14" s="20">
        <v>0</v>
      </c>
      <c r="E14" s="18">
        <v>29238</v>
      </c>
      <c r="F14" s="18">
        <v>29238</v>
      </c>
      <c r="G14" s="21">
        <v>0</v>
      </c>
      <c r="H14" s="21">
        <f>SUM(6411.58+1608+1824.03)</f>
        <v>9843.61</v>
      </c>
      <c r="I14" s="21">
        <f>SUM(6469.68+1549.45+1825.03)</f>
        <v>9844.16</v>
      </c>
      <c r="J14" s="18">
        <f t="shared" si="2"/>
        <v>19393.84</v>
      </c>
      <c r="K14" s="18">
        <f t="shared" si="3"/>
        <v>19393.84</v>
      </c>
      <c r="L14" s="18">
        <f t="shared" si="4"/>
        <v>0</v>
      </c>
      <c r="M14" s="21">
        <f>SUM(4634.28+3326.75)</f>
        <v>7961.03</v>
      </c>
      <c r="N14" s="2">
        <f t="shared" si="5"/>
        <v>1883.13</v>
      </c>
      <c r="O14" s="22">
        <f t="shared" si="6"/>
        <v>0.33667179697653743</v>
      </c>
    </row>
    <row r="15" spans="1:16" ht="10.5" customHeight="1" x14ac:dyDescent="0.25">
      <c r="A15" s="17" t="s">
        <v>34</v>
      </c>
      <c r="B15" s="18" t="s">
        <v>35</v>
      </c>
      <c r="C15" s="19">
        <v>4015</v>
      </c>
      <c r="D15" s="20">
        <v>-181</v>
      </c>
      <c r="E15" s="18">
        <v>3834</v>
      </c>
      <c r="F15" s="18">
        <v>3834</v>
      </c>
      <c r="G15" s="21">
        <v>0</v>
      </c>
      <c r="H15" s="21">
        <f>SUM(975.53+449)</f>
        <v>1424.53</v>
      </c>
      <c r="I15" s="21">
        <f>SUM(983.83+440.2)</f>
        <v>1424.03</v>
      </c>
      <c r="J15" s="18">
        <f t="shared" si="2"/>
        <v>2409.9700000000003</v>
      </c>
      <c r="K15" s="18">
        <f t="shared" si="3"/>
        <v>2409.9700000000003</v>
      </c>
      <c r="L15" s="18">
        <f t="shared" si="4"/>
        <v>0</v>
      </c>
      <c r="M15" s="21">
        <v>1415.73</v>
      </c>
      <c r="N15" s="2">
        <f t="shared" si="5"/>
        <v>8.2999999999999545</v>
      </c>
      <c r="O15" s="22">
        <f t="shared" si="6"/>
        <v>0.37155190401669275</v>
      </c>
    </row>
    <row r="16" spans="1:16" ht="10.5" customHeight="1" x14ac:dyDescent="0.25">
      <c r="A16" s="17" t="s">
        <v>36</v>
      </c>
      <c r="B16" s="18" t="s">
        <v>37</v>
      </c>
      <c r="C16" s="19">
        <v>0</v>
      </c>
      <c r="D16" s="20">
        <v>3034</v>
      </c>
      <c r="E16" s="18">
        <v>3034</v>
      </c>
      <c r="F16" s="18">
        <v>3034</v>
      </c>
      <c r="G16" s="21">
        <v>0</v>
      </c>
      <c r="H16" s="21">
        <v>3033.33</v>
      </c>
      <c r="I16" s="21">
        <v>3033.33</v>
      </c>
      <c r="J16" s="18">
        <f t="shared" si="2"/>
        <v>0.67000000000007276</v>
      </c>
      <c r="K16" s="18">
        <f t="shared" si="3"/>
        <v>0.67000000000007276</v>
      </c>
      <c r="L16" s="18">
        <f t="shared" si="4"/>
        <v>0</v>
      </c>
      <c r="M16" s="21">
        <v>0</v>
      </c>
      <c r="N16" s="2">
        <f t="shared" si="5"/>
        <v>3033.33</v>
      </c>
      <c r="O16" s="22">
        <f t="shared" si="6"/>
        <v>0.99977916941331568</v>
      </c>
    </row>
    <row r="17" spans="1:15" ht="10.5" customHeight="1" x14ac:dyDescent="0.25">
      <c r="A17" s="17" t="s">
        <v>38</v>
      </c>
      <c r="B17" s="18" t="s">
        <v>25</v>
      </c>
      <c r="C17" s="19">
        <v>0</v>
      </c>
      <c r="D17" s="20">
        <v>467</v>
      </c>
      <c r="E17" s="18">
        <v>467</v>
      </c>
      <c r="F17" s="18">
        <v>467</v>
      </c>
      <c r="G17" s="21">
        <v>0</v>
      </c>
      <c r="H17" s="21">
        <v>466.67</v>
      </c>
      <c r="I17" s="21">
        <v>466.67</v>
      </c>
      <c r="J17" s="18">
        <f t="shared" si="2"/>
        <v>0.32999999999998408</v>
      </c>
      <c r="K17" s="18">
        <f t="shared" si="3"/>
        <v>0.32999999999998408</v>
      </c>
      <c r="L17" s="18">
        <f t="shared" si="4"/>
        <v>0</v>
      </c>
      <c r="M17" s="21">
        <v>0</v>
      </c>
      <c r="N17" s="2">
        <f t="shared" si="5"/>
        <v>466.67</v>
      </c>
      <c r="O17" s="22">
        <f t="shared" si="6"/>
        <v>0.99929336188436835</v>
      </c>
    </row>
    <row r="18" spans="1:15" ht="10.5" customHeight="1" x14ac:dyDescent="0.25">
      <c r="A18" s="17" t="s">
        <v>39</v>
      </c>
      <c r="B18" s="18" t="s">
        <v>27</v>
      </c>
      <c r="C18" s="19">
        <v>0</v>
      </c>
      <c r="D18" s="20">
        <v>444</v>
      </c>
      <c r="E18" s="18">
        <v>444</v>
      </c>
      <c r="F18" s="18">
        <v>444</v>
      </c>
      <c r="G18" s="21">
        <v>0</v>
      </c>
      <c r="H18" s="21">
        <v>443.05</v>
      </c>
      <c r="I18" s="21">
        <v>443.05</v>
      </c>
      <c r="J18" s="18">
        <f t="shared" si="2"/>
        <v>0.94999999999998863</v>
      </c>
      <c r="K18" s="18">
        <f t="shared" si="3"/>
        <v>0.94999999999998863</v>
      </c>
      <c r="L18" s="18">
        <f t="shared" si="4"/>
        <v>0</v>
      </c>
      <c r="M18" s="21">
        <v>0</v>
      </c>
      <c r="N18" s="2">
        <f t="shared" si="5"/>
        <v>443.05</v>
      </c>
      <c r="O18" s="22">
        <f t="shared" si="6"/>
        <v>0.99786036036036041</v>
      </c>
    </row>
    <row r="19" spans="1:15" ht="10.5" customHeight="1" x14ac:dyDescent="0.25">
      <c r="A19" s="17" t="s">
        <v>40</v>
      </c>
      <c r="B19" s="18" t="s">
        <v>41</v>
      </c>
      <c r="C19" s="19">
        <v>0</v>
      </c>
      <c r="D19" s="20">
        <v>13799</v>
      </c>
      <c r="E19" s="18">
        <v>13799</v>
      </c>
      <c r="F19" s="18">
        <v>13799</v>
      </c>
      <c r="G19" s="21">
        <v>0</v>
      </c>
      <c r="H19" s="21">
        <v>12554.65</v>
      </c>
      <c r="I19" s="21">
        <f>SUM(12554.65)</f>
        <v>12554.65</v>
      </c>
      <c r="J19" s="18">
        <f t="shared" si="2"/>
        <v>1244.3500000000004</v>
      </c>
      <c r="K19" s="18">
        <f t="shared" si="3"/>
        <v>1244.3500000000004</v>
      </c>
      <c r="L19" s="18">
        <f t="shared" si="4"/>
        <v>0</v>
      </c>
      <c r="M19" s="21">
        <v>11950.18</v>
      </c>
      <c r="N19" s="2">
        <f t="shared" si="5"/>
        <v>604.46999999999935</v>
      </c>
      <c r="O19" s="22">
        <f t="shared" si="6"/>
        <v>0.9098231755924342</v>
      </c>
    </row>
    <row r="20" spans="1:15" s="10" customFormat="1" ht="10.5" customHeight="1" x14ac:dyDescent="0.25">
      <c r="A20" s="23" t="s">
        <v>42</v>
      </c>
      <c r="B20" s="24"/>
      <c r="C20" s="12">
        <f t="shared" ref="C20:I20" si="7">SUM(C21:C55)</f>
        <v>387250</v>
      </c>
      <c r="D20" s="13">
        <f t="shared" si="7"/>
        <v>-111927</v>
      </c>
      <c r="E20" s="5">
        <f t="shared" si="7"/>
        <v>275323</v>
      </c>
      <c r="F20" s="5">
        <f t="shared" si="7"/>
        <v>274823</v>
      </c>
      <c r="G20" s="14">
        <f t="shared" si="7"/>
        <v>108211.8</v>
      </c>
      <c r="H20" s="14">
        <f t="shared" si="7"/>
        <v>113522.91000000002</v>
      </c>
      <c r="I20" s="14">
        <f t="shared" si="7"/>
        <v>255389.13</v>
      </c>
      <c r="J20" s="5">
        <f>SUM(F20+G20-I20)</f>
        <v>127645.66999999998</v>
      </c>
      <c r="K20" s="5">
        <f t="shared" si="3"/>
        <v>19933.869999999995</v>
      </c>
      <c r="L20" s="5">
        <f t="shared" si="4"/>
        <v>500</v>
      </c>
      <c r="M20" s="14">
        <f>SUM(M21:M55)</f>
        <v>27240.230000000003</v>
      </c>
      <c r="N20" s="10">
        <f t="shared" si="5"/>
        <v>228148.9</v>
      </c>
      <c r="O20" s="25">
        <f t="shared" si="6"/>
        <v>0.41307645284419431</v>
      </c>
    </row>
    <row r="21" spans="1:15" x14ac:dyDescent="0.25">
      <c r="A21" s="17" t="s">
        <v>43</v>
      </c>
      <c r="B21" s="18" t="s">
        <v>44</v>
      </c>
      <c r="C21" s="19">
        <v>120000</v>
      </c>
      <c r="D21" s="20">
        <v>-102028</v>
      </c>
      <c r="E21" s="18">
        <v>17972</v>
      </c>
      <c r="F21" s="18">
        <f>SUM(17972+90240)</f>
        <v>108212</v>
      </c>
      <c r="G21" s="21">
        <f>SUM(17971.8+90240)</f>
        <v>108211.8</v>
      </c>
      <c r="H21" s="21">
        <v>0</v>
      </c>
      <c r="I21" s="21">
        <f>SUM(17971.8+90240)</f>
        <v>108211.8</v>
      </c>
      <c r="J21" s="18">
        <f>SUM(F21+G21-I21)</f>
        <v>108211.99999999999</v>
      </c>
      <c r="K21" s="18">
        <f t="shared" si="3"/>
        <v>-90239.8</v>
      </c>
      <c r="L21" s="18">
        <f t="shared" si="4"/>
        <v>-90240</v>
      </c>
      <c r="M21" s="21">
        <v>0</v>
      </c>
      <c r="N21" s="2">
        <f t="shared" si="5"/>
        <v>108211.8</v>
      </c>
      <c r="O21" s="22">
        <f t="shared" si="6"/>
        <v>0</v>
      </c>
    </row>
    <row r="22" spans="1:15" x14ac:dyDescent="0.25">
      <c r="A22" s="17" t="s">
        <v>45</v>
      </c>
      <c r="B22" s="18" t="s">
        <v>46</v>
      </c>
      <c r="C22" s="19">
        <v>3500</v>
      </c>
      <c r="D22" s="20">
        <v>-3500</v>
      </c>
      <c r="E22" s="18">
        <v>0</v>
      </c>
      <c r="F22" s="18">
        <v>0</v>
      </c>
      <c r="G22" s="21">
        <v>0</v>
      </c>
      <c r="H22" s="21">
        <v>0</v>
      </c>
      <c r="I22" s="21">
        <v>0</v>
      </c>
      <c r="J22" s="18">
        <f t="shared" ref="J22:J85" si="8">SUM(F22-I22)</f>
        <v>0</v>
      </c>
      <c r="K22" s="18">
        <f t="shared" si="3"/>
        <v>0</v>
      </c>
      <c r="L22" s="18">
        <f t="shared" si="4"/>
        <v>0</v>
      </c>
      <c r="M22" s="21">
        <v>0</v>
      </c>
      <c r="N22" s="2">
        <f t="shared" si="5"/>
        <v>0</v>
      </c>
      <c r="O22" s="22">
        <v>0</v>
      </c>
    </row>
    <row r="23" spans="1:15" x14ac:dyDescent="0.25">
      <c r="A23" s="17" t="s">
        <v>47</v>
      </c>
      <c r="B23" s="18" t="s">
        <v>48</v>
      </c>
      <c r="C23" s="19">
        <v>4000</v>
      </c>
      <c r="D23" s="20">
        <v>-1688</v>
      </c>
      <c r="E23" s="18">
        <v>2312</v>
      </c>
      <c r="F23" s="18">
        <v>2312</v>
      </c>
      <c r="G23" s="21">
        <v>0</v>
      </c>
      <c r="H23" s="21">
        <v>2311.1999999999998</v>
      </c>
      <c r="I23" s="21">
        <v>2311.1999999999998</v>
      </c>
      <c r="J23" s="18">
        <f t="shared" si="8"/>
        <v>0.8000000000001819</v>
      </c>
      <c r="K23" s="18">
        <f t="shared" si="3"/>
        <v>0.8000000000001819</v>
      </c>
      <c r="L23" s="18">
        <f t="shared" si="4"/>
        <v>0</v>
      </c>
      <c r="M23" s="21">
        <v>0</v>
      </c>
      <c r="N23" s="2">
        <f t="shared" si="5"/>
        <v>2311.1999999999998</v>
      </c>
      <c r="O23" s="22">
        <f t="shared" si="6"/>
        <v>0.99965397923875421</v>
      </c>
    </row>
    <row r="24" spans="1:15" x14ac:dyDescent="0.25">
      <c r="A24" s="17" t="s">
        <v>49</v>
      </c>
      <c r="B24" s="18" t="s">
        <v>50</v>
      </c>
      <c r="C24" s="19">
        <v>3000</v>
      </c>
      <c r="D24" s="20">
        <v>-3000</v>
      </c>
      <c r="E24" s="18">
        <v>0</v>
      </c>
      <c r="F24" s="18">
        <v>0</v>
      </c>
      <c r="G24" s="21">
        <v>0</v>
      </c>
      <c r="H24" s="21">
        <v>0</v>
      </c>
      <c r="I24" s="21">
        <v>0</v>
      </c>
      <c r="J24" s="18">
        <f t="shared" si="8"/>
        <v>0</v>
      </c>
      <c r="K24" s="18">
        <f t="shared" si="3"/>
        <v>0</v>
      </c>
      <c r="L24" s="18">
        <f t="shared" si="4"/>
        <v>0</v>
      </c>
      <c r="M24" s="21">
        <v>0</v>
      </c>
      <c r="N24" s="2">
        <f t="shared" si="5"/>
        <v>0</v>
      </c>
      <c r="O24" s="22">
        <v>0</v>
      </c>
    </row>
    <row r="25" spans="1:15" x14ac:dyDescent="0.25">
      <c r="A25" s="17" t="s">
        <v>51</v>
      </c>
      <c r="B25" s="18" t="s">
        <v>52</v>
      </c>
      <c r="C25" s="19">
        <v>3000</v>
      </c>
      <c r="D25" s="20">
        <v>-1659</v>
      </c>
      <c r="E25" s="18">
        <v>1341</v>
      </c>
      <c r="F25" s="18">
        <v>1341</v>
      </c>
      <c r="G25" s="21">
        <v>0</v>
      </c>
      <c r="H25" s="21">
        <v>1284</v>
      </c>
      <c r="I25" s="21">
        <v>1284</v>
      </c>
      <c r="J25" s="18">
        <f t="shared" si="8"/>
        <v>57</v>
      </c>
      <c r="K25" s="18">
        <f t="shared" si="3"/>
        <v>57</v>
      </c>
      <c r="L25" s="18">
        <f t="shared" si="4"/>
        <v>0</v>
      </c>
      <c r="M25" s="21">
        <v>0</v>
      </c>
      <c r="N25" s="2">
        <f t="shared" si="5"/>
        <v>1284</v>
      </c>
      <c r="O25" s="22">
        <f t="shared" si="6"/>
        <v>0.95749440715883671</v>
      </c>
    </row>
    <row r="26" spans="1:15" x14ac:dyDescent="0.25">
      <c r="A26" s="17" t="s">
        <v>53</v>
      </c>
      <c r="B26" s="18" t="s">
        <v>54</v>
      </c>
      <c r="C26" s="19">
        <v>2000</v>
      </c>
      <c r="D26" s="20">
        <v>-2000</v>
      </c>
      <c r="E26" s="18">
        <v>0</v>
      </c>
      <c r="F26" s="18">
        <f>SUM(60)</f>
        <v>60</v>
      </c>
      <c r="G26" s="21">
        <v>0</v>
      </c>
      <c r="H26" s="21">
        <v>23.8</v>
      </c>
      <c r="I26" s="21">
        <v>47.6</v>
      </c>
      <c r="J26" s="18">
        <f t="shared" si="8"/>
        <v>12.399999999999999</v>
      </c>
      <c r="K26" s="18">
        <f t="shared" si="3"/>
        <v>-47.6</v>
      </c>
      <c r="L26" s="18">
        <f t="shared" si="4"/>
        <v>-60</v>
      </c>
      <c r="M26" s="21">
        <v>0</v>
      </c>
      <c r="N26" s="2">
        <f t="shared" si="5"/>
        <v>47.6</v>
      </c>
      <c r="O26" s="22">
        <v>0</v>
      </c>
    </row>
    <row r="27" spans="1:15" x14ac:dyDescent="0.25">
      <c r="A27" s="17" t="s">
        <v>55</v>
      </c>
      <c r="B27" s="18" t="s">
        <v>56</v>
      </c>
      <c r="C27" s="19">
        <v>1000</v>
      </c>
      <c r="D27" s="20">
        <v>-1000</v>
      </c>
      <c r="E27" s="18">
        <v>0</v>
      </c>
      <c r="F27" s="18">
        <v>0</v>
      </c>
      <c r="G27" s="21">
        <v>0</v>
      </c>
      <c r="H27" s="21">
        <v>0</v>
      </c>
      <c r="I27" s="21">
        <v>0</v>
      </c>
      <c r="J27" s="18">
        <f t="shared" si="8"/>
        <v>0</v>
      </c>
      <c r="K27" s="18">
        <f t="shared" si="3"/>
        <v>0</v>
      </c>
      <c r="L27" s="18">
        <f t="shared" si="4"/>
        <v>0</v>
      </c>
      <c r="M27" s="21">
        <v>0</v>
      </c>
      <c r="N27" s="2">
        <f t="shared" si="5"/>
        <v>0</v>
      </c>
      <c r="O27" s="22">
        <v>0</v>
      </c>
    </row>
    <row r="28" spans="1:15" x14ac:dyDescent="0.25">
      <c r="A28" s="17" t="s">
        <v>57</v>
      </c>
      <c r="B28" s="18" t="s">
        <v>58</v>
      </c>
      <c r="C28" s="19">
        <v>500</v>
      </c>
      <c r="D28" s="20">
        <v>-500</v>
      </c>
      <c r="E28" s="18">
        <v>0</v>
      </c>
      <c r="F28" s="18">
        <v>0</v>
      </c>
      <c r="G28" s="21">
        <v>0</v>
      </c>
      <c r="H28" s="21">
        <v>0</v>
      </c>
      <c r="I28" s="21">
        <v>0</v>
      </c>
      <c r="J28" s="18">
        <f t="shared" si="8"/>
        <v>0</v>
      </c>
      <c r="K28" s="18">
        <f t="shared" si="3"/>
        <v>0</v>
      </c>
      <c r="L28" s="18">
        <f t="shared" si="4"/>
        <v>0</v>
      </c>
      <c r="M28" s="21">
        <v>0</v>
      </c>
      <c r="N28" s="2">
        <f t="shared" si="5"/>
        <v>0</v>
      </c>
      <c r="O28" s="22">
        <v>0</v>
      </c>
    </row>
    <row r="29" spans="1:15" x14ac:dyDescent="0.25">
      <c r="A29" s="17" t="s">
        <v>59</v>
      </c>
      <c r="B29" s="18" t="s">
        <v>60</v>
      </c>
      <c r="C29" s="19">
        <v>28500</v>
      </c>
      <c r="D29" s="20">
        <v>-26933</v>
      </c>
      <c r="E29" s="18">
        <v>1567</v>
      </c>
      <c r="F29" s="18">
        <f>SUM(1567+4984)</f>
        <v>6551</v>
      </c>
      <c r="G29" s="21">
        <v>0</v>
      </c>
      <c r="H29" s="21">
        <f>SUM(1566.98+4983.6)</f>
        <v>6550.58</v>
      </c>
      <c r="I29" s="21">
        <f>SUM(1566.98+4983.62)</f>
        <v>6550.6</v>
      </c>
      <c r="J29" s="18">
        <f t="shared" si="8"/>
        <v>0.3999999999996362</v>
      </c>
      <c r="K29" s="18">
        <f t="shared" si="3"/>
        <v>-4983.6000000000004</v>
      </c>
      <c r="L29" s="18">
        <f t="shared" si="4"/>
        <v>-4984</v>
      </c>
      <c r="M29" s="21">
        <f>SUM(1566.98+4802.62+181)</f>
        <v>6550.6</v>
      </c>
      <c r="N29" s="2">
        <f t="shared" si="5"/>
        <v>0</v>
      </c>
      <c r="O29" s="22">
        <f t="shared" si="6"/>
        <v>0.99993588765074037</v>
      </c>
    </row>
    <row r="30" spans="1:15" x14ac:dyDescent="0.25">
      <c r="A30" s="17" t="s">
        <v>61</v>
      </c>
      <c r="B30" s="18" t="s">
        <v>62</v>
      </c>
      <c r="C30" s="19">
        <v>15000</v>
      </c>
      <c r="D30" s="20">
        <v>-13771</v>
      </c>
      <c r="E30" s="18">
        <v>1229</v>
      </c>
      <c r="F30" s="18">
        <f>SUM(1229+4645)</f>
        <v>5874</v>
      </c>
      <c r="G30" s="21">
        <v>0</v>
      </c>
      <c r="H30" s="21">
        <f>SUM(1228.22+4645.01)</f>
        <v>5873.2300000000005</v>
      </c>
      <c r="I30" s="21">
        <f>SUM(1228.22+4644.79)</f>
        <v>5873.01</v>
      </c>
      <c r="J30" s="18">
        <f t="shared" si="8"/>
        <v>0.98999999999978172</v>
      </c>
      <c r="K30" s="18">
        <f t="shared" si="3"/>
        <v>-4644.01</v>
      </c>
      <c r="L30" s="18">
        <f t="shared" si="4"/>
        <v>-4645</v>
      </c>
      <c r="M30" s="21">
        <f>SUM(1228.22+4644.79)</f>
        <v>5873.01</v>
      </c>
      <c r="N30" s="2">
        <f t="shared" si="5"/>
        <v>0</v>
      </c>
      <c r="O30" s="22">
        <f t="shared" si="6"/>
        <v>0.99986891385767795</v>
      </c>
    </row>
    <row r="31" spans="1:15" x14ac:dyDescent="0.25">
      <c r="A31" s="17" t="s">
        <v>63</v>
      </c>
      <c r="B31" s="18" t="s">
        <v>64</v>
      </c>
      <c r="C31" s="19">
        <v>25000</v>
      </c>
      <c r="D31" s="20">
        <v>-20975</v>
      </c>
      <c r="E31" s="18">
        <v>4025</v>
      </c>
      <c r="F31" s="18">
        <f>SUM(4025)</f>
        <v>4025</v>
      </c>
      <c r="G31" s="21">
        <v>0</v>
      </c>
      <c r="H31" s="21">
        <v>4024.4</v>
      </c>
      <c r="I31" s="21">
        <v>4024.4</v>
      </c>
      <c r="J31" s="18">
        <f t="shared" si="8"/>
        <v>0.59999999999990905</v>
      </c>
      <c r="K31" s="18">
        <f t="shared" si="3"/>
        <v>0.59999999999990905</v>
      </c>
      <c r="L31" s="18">
        <f t="shared" si="4"/>
        <v>0</v>
      </c>
      <c r="M31" s="21">
        <v>0</v>
      </c>
      <c r="N31" s="2">
        <f t="shared" si="5"/>
        <v>4024.4</v>
      </c>
      <c r="O31" s="22">
        <f t="shared" si="6"/>
        <v>0.99985093167701866</v>
      </c>
    </row>
    <row r="32" spans="1:15" x14ac:dyDescent="0.25">
      <c r="A32" s="17" t="s">
        <v>65</v>
      </c>
      <c r="B32" s="18" t="s">
        <v>66</v>
      </c>
      <c r="C32" s="19">
        <v>10000</v>
      </c>
      <c r="D32" s="20">
        <v>-8074</v>
      </c>
      <c r="E32" s="18">
        <v>1926</v>
      </c>
      <c r="F32" s="18">
        <v>1926</v>
      </c>
      <c r="G32" s="21">
        <v>0</v>
      </c>
      <c r="H32" s="21">
        <v>1926</v>
      </c>
      <c r="I32" s="21">
        <v>1926</v>
      </c>
      <c r="J32" s="18">
        <f t="shared" si="8"/>
        <v>0</v>
      </c>
      <c r="K32" s="18">
        <f t="shared" si="3"/>
        <v>0</v>
      </c>
      <c r="L32" s="18">
        <f t="shared" si="4"/>
        <v>0</v>
      </c>
      <c r="M32" s="21">
        <v>0</v>
      </c>
      <c r="N32" s="2">
        <f t="shared" si="5"/>
        <v>1926</v>
      </c>
      <c r="O32" s="22">
        <f t="shared" si="6"/>
        <v>1</v>
      </c>
    </row>
    <row r="33" spans="1:15" x14ac:dyDescent="0.25">
      <c r="A33" s="17" t="s">
        <v>67</v>
      </c>
      <c r="B33" s="18" t="s">
        <v>68</v>
      </c>
      <c r="C33" s="19">
        <v>10000</v>
      </c>
      <c r="D33" s="20">
        <v>0</v>
      </c>
      <c r="E33" s="18">
        <v>10000</v>
      </c>
      <c r="F33" s="18">
        <v>439</v>
      </c>
      <c r="G33" s="21">
        <v>0</v>
      </c>
      <c r="H33" s="21">
        <v>438.7</v>
      </c>
      <c r="I33" s="21">
        <v>438.9</v>
      </c>
      <c r="J33" s="18">
        <f t="shared" si="8"/>
        <v>0.10000000000002274</v>
      </c>
      <c r="K33" s="18">
        <f t="shared" si="3"/>
        <v>9561.1</v>
      </c>
      <c r="L33" s="18">
        <f t="shared" si="4"/>
        <v>9561</v>
      </c>
      <c r="M33" s="21">
        <v>438.7</v>
      </c>
      <c r="N33" s="2">
        <f t="shared" si="5"/>
        <v>0.19999999999998863</v>
      </c>
      <c r="O33" s="22">
        <f t="shared" si="6"/>
        <v>0.99931662870159454</v>
      </c>
    </row>
    <row r="34" spans="1:15" x14ac:dyDescent="0.25">
      <c r="A34" s="17" t="s">
        <v>69</v>
      </c>
      <c r="B34" s="18" t="s">
        <v>70</v>
      </c>
      <c r="C34" s="19">
        <v>5000</v>
      </c>
      <c r="D34" s="20">
        <v>32000</v>
      </c>
      <c r="E34" s="18">
        <v>37000</v>
      </c>
      <c r="F34" s="18">
        <v>8543</v>
      </c>
      <c r="G34" s="21">
        <v>0</v>
      </c>
      <c r="H34" s="21">
        <v>8495.39</v>
      </c>
      <c r="I34" s="21">
        <v>8496</v>
      </c>
      <c r="J34" s="18">
        <f t="shared" si="8"/>
        <v>47</v>
      </c>
      <c r="K34" s="18">
        <f t="shared" si="3"/>
        <v>28504</v>
      </c>
      <c r="L34" s="18">
        <f t="shared" si="4"/>
        <v>28457</v>
      </c>
      <c r="M34" s="21">
        <f>SUM(273.92+2295.15)</f>
        <v>2569.0700000000002</v>
      </c>
      <c r="N34" s="2">
        <f t="shared" si="5"/>
        <v>5926.93</v>
      </c>
      <c r="O34" s="22">
        <f t="shared" si="6"/>
        <v>0.9944270162706309</v>
      </c>
    </row>
    <row r="35" spans="1:15" x14ac:dyDescent="0.25">
      <c r="A35" s="17" t="s">
        <v>71</v>
      </c>
      <c r="B35" s="18" t="s">
        <v>72</v>
      </c>
      <c r="C35" s="19">
        <v>12250</v>
      </c>
      <c r="D35" s="20">
        <v>-343</v>
      </c>
      <c r="E35" s="18">
        <v>11907</v>
      </c>
      <c r="F35" s="18">
        <v>11907</v>
      </c>
      <c r="G35" s="21">
        <v>0</v>
      </c>
      <c r="H35" s="21">
        <v>2572</v>
      </c>
      <c r="I35" s="21">
        <f>SUM(11907-2214)</f>
        <v>9693</v>
      </c>
      <c r="J35" s="18">
        <f t="shared" si="8"/>
        <v>2214</v>
      </c>
      <c r="K35" s="18">
        <f t="shared" si="3"/>
        <v>2214</v>
      </c>
      <c r="L35" s="18">
        <f t="shared" si="4"/>
        <v>0</v>
      </c>
      <c r="M35" s="21">
        <f>SUM(2250+200+50)</f>
        <v>2500</v>
      </c>
      <c r="N35" s="2">
        <f t="shared" si="5"/>
        <v>7193</v>
      </c>
      <c r="O35" s="22">
        <f t="shared" si="6"/>
        <v>0.2160073906105652</v>
      </c>
    </row>
    <row r="36" spans="1:15" x14ac:dyDescent="0.25">
      <c r="A36" s="17" t="s">
        <v>73</v>
      </c>
      <c r="B36" s="18" t="s">
        <v>74</v>
      </c>
      <c r="C36" s="19">
        <v>35000</v>
      </c>
      <c r="D36" s="20">
        <v>0</v>
      </c>
      <c r="E36" s="18">
        <v>35000</v>
      </c>
      <c r="F36" s="18">
        <v>0</v>
      </c>
      <c r="G36" s="21">
        <v>0</v>
      </c>
      <c r="H36" s="21">
        <v>0</v>
      </c>
      <c r="I36" s="21">
        <v>0</v>
      </c>
      <c r="J36" s="18">
        <f t="shared" si="8"/>
        <v>0</v>
      </c>
      <c r="K36" s="18">
        <f t="shared" si="3"/>
        <v>35000</v>
      </c>
      <c r="L36" s="18">
        <f t="shared" si="4"/>
        <v>35000</v>
      </c>
      <c r="M36" s="21">
        <v>0</v>
      </c>
      <c r="N36" s="2">
        <f t="shared" si="5"/>
        <v>0</v>
      </c>
      <c r="O36" s="22">
        <v>0</v>
      </c>
    </row>
    <row r="37" spans="1:15" x14ac:dyDescent="0.25">
      <c r="A37" s="17" t="s">
        <v>75</v>
      </c>
      <c r="B37" s="18" t="s">
        <v>76</v>
      </c>
      <c r="C37" s="19">
        <v>11000</v>
      </c>
      <c r="D37" s="20">
        <v>-396</v>
      </c>
      <c r="E37" s="18">
        <v>10604</v>
      </c>
      <c r="F37" s="18">
        <v>10476</v>
      </c>
      <c r="G37" s="21">
        <v>0</v>
      </c>
      <c r="H37" s="21">
        <v>504.2</v>
      </c>
      <c r="I37" s="21">
        <v>7615</v>
      </c>
      <c r="J37" s="18">
        <f t="shared" si="8"/>
        <v>2861</v>
      </c>
      <c r="K37" s="18">
        <f t="shared" si="3"/>
        <v>2989</v>
      </c>
      <c r="L37" s="18">
        <f t="shared" si="4"/>
        <v>128</v>
      </c>
      <c r="M37" s="21">
        <f>SUM(400+71.4)</f>
        <v>471.4</v>
      </c>
      <c r="N37" s="2">
        <f t="shared" si="5"/>
        <v>7143.6</v>
      </c>
      <c r="O37" s="22">
        <f t="shared" si="6"/>
        <v>4.8129056891943488E-2</v>
      </c>
    </row>
    <row r="38" spans="1:15" x14ac:dyDescent="0.25">
      <c r="A38" s="17" t="s">
        <v>77</v>
      </c>
      <c r="B38" s="18" t="s">
        <v>78</v>
      </c>
      <c r="C38" s="19">
        <v>30000</v>
      </c>
      <c r="D38" s="20">
        <v>0</v>
      </c>
      <c r="E38" s="18">
        <v>30000</v>
      </c>
      <c r="F38" s="18">
        <v>3217</v>
      </c>
      <c r="G38" s="21">
        <v>0</v>
      </c>
      <c r="H38" s="21">
        <v>3216.3</v>
      </c>
      <c r="I38" s="21">
        <v>3217</v>
      </c>
      <c r="J38" s="18">
        <f t="shared" si="8"/>
        <v>0</v>
      </c>
      <c r="K38" s="18">
        <f t="shared" si="3"/>
        <v>26783</v>
      </c>
      <c r="L38" s="18">
        <f t="shared" si="4"/>
        <v>26783</v>
      </c>
      <c r="M38" s="21">
        <v>3216.3</v>
      </c>
      <c r="N38" s="2">
        <f t="shared" si="5"/>
        <v>0.6999999999998181</v>
      </c>
      <c r="O38" s="22">
        <f t="shared" si="6"/>
        <v>0.99978240596829349</v>
      </c>
    </row>
    <row r="39" spans="1:15" x14ac:dyDescent="0.25">
      <c r="A39" s="17" t="s">
        <v>79</v>
      </c>
      <c r="B39" s="18" t="s">
        <v>80</v>
      </c>
      <c r="C39" s="19">
        <v>1500</v>
      </c>
      <c r="D39" s="20">
        <v>-500</v>
      </c>
      <c r="E39" s="18">
        <v>1000</v>
      </c>
      <c r="F39" s="18">
        <v>500</v>
      </c>
      <c r="G39" s="21">
        <v>0</v>
      </c>
      <c r="H39" s="21">
        <v>0</v>
      </c>
      <c r="I39" s="21">
        <v>0</v>
      </c>
      <c r="J39" s="18">
        <f t="shared" si="8"/>
        <v>500</v>
      </c>
      <c r="K39" s="18">
        <f t="shared" si="3"/>
        <v>1000</v>
      </c>
      <c r="L39" s="18">
        <f t="shared" si="4"/>
        <v>500</v>
      </c>
      <c r="M39" s="21">
        <v>0</v>
      </c>
      <c r="N39" s="2">
        <f t="shared" si="5"/>
        <v>0</v>
      </c>
      <c r="O39" s="22">
        <f t="shared" si="6"/>
        <v>0</v>
      </c>
    </row>
    <row r="40" spans="1:15" x14ac:dyDescent="0.25">
      <c r="A40" s="17" t="s">
        <v>81</v>
      </c>
      <c r="B40" s="18" t="s">
        <v>82</v>
      </c>
      <c r="C40" s="19">
        <v>1500</v>
      </c>
      <c r="D40" s="20">
        <v>0</v>
      </c>
      <c r="E40" s="18">
        <v>1500</v>
      </c>
      <c r="F40" s="18">
        <v>1500</v>
      </c>
      <c r="G40" s="21">
        <v>0</v>
      </c>
      <c r="H40" s="21">
        <f>SUM(28+14)</f>
        <v>42</v>
      </c>
      <c r="I40" s="21">
        <v>226.63</v>
      </c>
      <c r="J40" s="18">
        <f t="shared" si="8"/>
        <v>1273.3699999999999</v>
      </c>
      <c r="K40" s="18">
        <f t="shared" si="3"/>
        <v>1273.3699999999999</v>
      </c>
      <c r="L40" s="18">
        <f t="shared" si="4"/>
        <v>0</v>
      </c>
      <c r="M40" s="21">
        <v>28</v>
      </c>
      <c r="N40" s="2">
        <f t="shared" si="5"/>
        <v>198.63</v>
      </c>
      <c r="O40" s="22">
        <f t="shared" si="6"/>
        <v>2.8000000000000001E-2</v>
      </c>
    </row>
    <row r="41" spans="1:15" x14ac:dyDescent="0.25">
      <c r="A41" s="17" t="s">
        <v>83</v>
      </c>
      <c r="B41" s="18" t="s">
        <v>84</v>
      </c>
      <c r="C41" s="19">
        <v>7000</v>
      </c>
      <c r="D41" s="20">
        <v>0</v>
      </c>
      <c r="E41" s="18">
        <v>7000</v>
      </c>
      <c r="F41" s="18">
        <v>7000</v>
      </c>
      <c r="G41" s="21">
        <v>0</v>
      </c>
      <c r="H41" s="21">
        <v>1723.18</v>
      </c>
      <c r="I41" s="21">
        <v>4589.03</v>
      </c>
      <c r="J41" s="18">
        <f t="shared" si="8"/>
        <v>2410.9700000000003</v>
      </c>
      <c r="K41" s="18">
        <f t="shared" si="3"/>
        <v>2410.9700000000003</v>
      </c>
      <c r="L41" s="18">
        <f t="shared" si="4"/>
        <v>0</v>
      </c>
      <c r="M41" s="21">
        <v>0</v>
      </c>
      <c r="N41" s="2">
        <f t="shared" si="5"/>
        <v>4589.03</v>
      </c>
      <c r="O41" s="22">
        <f t="shared" si="6"/>
        <v>0.24616857142857143</v>
      </c>
    </row>
    <row r="42" spans="1:15" x14ac:dyDescent="0.25">
      <c r="A42" s="17" t="s">
        <v>85</v>
      </c>
      <c r="B42" s="18" t="s">
        <v>86</v>
      </c>
      <c r="C42" s="19">
        <v>6000</v>
      </c>
      <c r="D42" s="20">
        <v>28800</v>
      </c>
      <c r="E42" s="18">
        <v>34800</v>
      </c>
      <c r="F42" s="18">
        <v>34800</v>
      </c>
      <c r="G42" s="21">
        <f>-G43</f>
        <v>0</v>
      </c>
      <c r="H42" s="21">
        <f>SUM(1539.47+33165.47)</f>
        <v>34704.94</v>
      </c>
      <c r="I42" s="21">
        <v>34744.78</v>
      </c>
      <c r="J42" s="18">
        <f t="shared" si="8"/>
        <v>55.220000000001164</v>
      </c>
      <c r="K42" s="18">
        <f t="shared" si="3"/>
        <v>55.220000000001164</v>
      </c>
      <c r="L42" s="18">
        <f t="shared" si="4"/>
        <v>0</v>
      </c>
      <c r="M42" s="21">
        <f>SUM(42.1+845.4)</f>
        <v>887.5</v>
      </c>
      <c r="N42" s="2">
        <f t="shared" si="5"/>
        <v>33857.279999999999</v>
      </c>
      <c r="O42" s="22">
        <f t="shared" si="6"/>
        <v>0.99726839080459773</v>
      </c>
    </row>
    <row r="43" spans="1:15" x14ac:dyDescent="0.25">
      <c r="A43" s="17" t="s">
        <v>87</v>
      </c>
      <c r="B43" s="18" t="s">
        <v>88</v>
      </c>
      <c r="C43" s="19">
        <v>36000</v>
      </c>
      <c r="D43" s="20">
        <v>-3000</v>
      </c>
      <c r="E43" s="18">
        <v>33000</v>
      </c>
      <c r="F43" s="18">
        <v>33000</v>
      </c>
      <c r="G43" s="21">
        <v>0</v>
      </c>
      <c r="H43" s="21">
        <v>18000</v>
      </c>
      <c r="I43" s="21">
        <v>33000</v>
      </c>
      <c r="J43" s="18">
        <f>SUM(F43+G43-I43)</f>
        <v>0</v>
      </c>
      <c r="K43" s="18">
        <f t="shared" si="3"/>
        <v>0</v>
      </c>
      <c r="L43" s="18">
        <f t="shared" si="4"/>
        <v>0</v>
      </c>
      <c r="M43" s="21">
        <v>0</v>
      </c>
      <c r="N43" s="2">
        <f t="shared" si="5"/>
        <v>33000</v>
      </c>
      <c r="O43" s="22">
        <f t="shared" si="6"/>
        <v>0.54545454545454541</v>
      </c>
    </row>
    <row r="44" spans="1:15" x14ac:dyDescent="0.25">
      <c r="A44" s="17" t="s">
        <v>89</v>
      </c>
      <c r="B44" s="18" t="s">
        <v>90</v>
      </c>
      <c r="C44" s="19">
        <v>3000</v>
      </c>
      <c r="D44" s="20">
        <v>-2000</v>
      </c>
      <c r="E44" s="18">
        <v>1000</v>
      </c>
      <c r="F44" s="18">
        <v>1000</v>
      </c>
      <c r="G44" s="21">
        <v>0</v>
      </c>
      <c r="H44" s="21">
        <v>0</v>
      </c>
      <c r="I44" s="21">
        <v>0</v>
      </c>
      <c r="J44" s="18">
        <f t="shared" si="8"/>
        <v>1000</v>
      </c>
      <c r="K44" s="18">
        <f t="shared" si="3"/>
        <v>1000</v>
      </c>
      <c r="L44" s="18">
        <f t="shared" si="4"/>
        <v>0</v>
      </c>
      <c r="M44" s="21">
        <v>0</v>
      </c>
      <c r="N44" s="2">
        <f t="shared" si="5"/>
        <v>0</v>
      </c>
      <c r="O44" s="22">
        <f t="shared" si="6"/>
        <v>0</v>
      </c>
    </row>
    <row r="45" spans="1:15" x14ac:dyDescent="0.25">
      <c r="A45" s="17" t="s">
        <v>91</v>
      </c>
      <c r="B45" s="18" t="s">
        <v>92</v>
      </c>
      <c r="C45" s="19">
        <v>3000</v>
      </c>
      <c r="D45" s="20">
        <v>-2000</v>
      </c>
      <c r="E45" s="18">
        <v>1000</v>
      </c>
      <c r="F45" s="18">
        <v>1000</v>
      </c>
      <c r="G45" s="21">
        <v>0</v>
      </c>
      <c r="H45" s="21">
        <v>84.86</v>
      </c>
      <c r="I45" s="21">
        <v>200.18</v>
      </c>
      <c r="J45" s="18">
        <f t="shared" si="8"/>
        <v>799.81999999999994</v>
      </c>
      <c r="K45" s="18">
        <f t="shared" si="3"/>
        <v>799.81999999999994</v>
      </c>
      <c r="L45" s="18">
        <f t="shared" si="4"/>
        <v>0</v>
      </c>
      <c r="M45" s="21">
        <v>84.86</v>
      </c>
      <c r="N45" s="2">
        <f t="shared" si="5"/>
        <v>115.32000000000001</v>
      </c>
      <c r="O45" s="22">
        <f t="shared" si="6"/>
        <v>8.4860000000000005E-2</v>
      </c>
    </row>
    <row r="46" spans="1:15" x14ac:dyDescent="0.25">
      <c r="A46" s="17" t="s">
        <v>93</v>
      </c>
      <c r="B46" s="18" t="s">
        <v>94</v>
      </c>
      <c r="C46" s="19">
        <v>2000</v>
      </c>
      <c r="D46" s="20">
        <v>-1000</v>
      </c>
      <c r="E46" s="18">
        <v>1000</v>
      </c>
      <c r="F46" s="18">
        <v>1000</v>
      </c>
      <c r="G46" s="21">
        <v>0</v>
      </c>
      <c r="H46" s="21">
        <v>0</v>
      </c>
      <c r="I46" s="21">
        <v>0</v>
      </c>
      <c r="J46" s="18">
        <f t="shared" si="8"/>
        <v>1000</v>
      </c>
      <c r="K46" s="18">
        <f t="shared" si="3"/>
        <v>1000</v>
      </c>
      <c r="L46" s="18">
        <f t="shared" si="4"/>
        <v>0</v>
      </c>
      <c r="M46" s="21">
        <v>0</v>
      </c>
      <c r="N46" s="2">
        <f t="shared" si="5"/>
        <v>0</v>
      </c>
      <c r="O46" s="22">
        <f t="shared" si="6"/>
        <v>0</v>
      </c>
    </row>
    <row r="47" spans="1:15" x14ac:dyDescent="0.25">
      <c r="A47" s="17" t="s">
        <v>95</v>
      </c>
      <c r="B47" s="18" t="s">
        <v>96</v>
      </c>
      <c r="C47" s="19">
        <v>3000</v>
      </c>
      <c r="D47" s="20">
        <v>0</v>
      </c>
      <c r="E47" s="18">
        <v>3000</v>
      </c>
      <c r="F47" s="18">
        <v>3000</v>
      </c>
      <c r="G47" s="21">
        <v>0</v>
      </c>
      <c r="H47" s="21">
        <v>518.95000000000005</v>
      </c>
      <c r="I47" s="21">
        <v>519</v>
      </c>
      <c r="J47" s="18">
        <f t="shared" si="8"/>
        <v>2481</v>
      </c>
      <c r="K47" s="18">
        <f t="shared" si="3"/>
        <v>2481</v>
      </c>
      <c r="L47" s="18">
        <f t="shared" si="4"/>
        <v>0</v>
      </c>
      <c r="M47" s="21">
        <v>518.95000000000005</v>
      </c>
      <c r="N47" s="2">
        <f t="shared" si="5"/>
        <v>4.9999999999954525E-2</v>
      </c>
      <c r="O47" s="22">
        <f t="shared" si="6"/>
        <v>0.17298333333333335</v>
      </c>
    </row>
    <row r="48" spans="1:15" x14ac:dyDescent="0.25">
      <c r="A48" s="17" t="s">
        <v>97</v>
      </c>
      <c r="B48" s="18" t="s">
        <v>98</v>
      </c>
      <c r="C48" s="19">
        <v>5500</v>
      </c>
      <c r="D48" s="20">
        <v>-1000</v>
      </c>
      <c r="E48" s="18">
        <v>4500</v>
      </c>
      <c r="F48" s="18">
        <v>4500</v>
      </c>
      <c r="G48" s="21">
        <v>0</v>
      </c>
      <c r="H48" s="21">
        <v>70</v>
      </c>
      <c r="I48" s="21">
        <v>70</v>
      </c>
      <c r="J48" s="18">
        <f t="shared" si="8"/>
        <v>4430</v>
      </c>
      <c r="K48" s="18">
        <f t="shared" si="3"/>
        <v>4430</v>
      </c>
      <c r="L48" s="18">
        <f t="shared" si="4"/>
        <v>0</v>
      </c>
      <c r="M48" s="21">
        <v>70</v>
      </c>
      <c r="N48" s="2">
        <f t="shared" si="5"/>
        <v>0</v>
      </c>
      <c r="O48" s="22">
        <f t="shared" si="6"/>
        <v>1.5555555555555555E-2</v>
      </c>
    </row>
    <row r="49" spans="1:16" x14ac:dyDescent="0.25">
      <c r="A49" s="17" t="s">
        <v>99</v>
      </c>
      <c r="B49" s="18" t="s">
        <v>100</v>
      </c>
      <c r="C49" s="19">
        <v>0</v>
      </c>
      <c r="D49" s="20">
        <v>3833</v>
      </c>
      <c r="E49" s="18">
        <v>3833</v>
      </c>
      <c r="F49" s="18">
        <v>3833</v>
      </c>
      <c r="G49" s="21">
        <v>0</v>
      </c>
      <c r="H49" s="21">
        <v>2584.37</v>
      </c>
      <c r="I49" s="21">
        <v>3775</v>
      </c>
      <c r="J49" s="18">
        <f t="shared" si="8"/>
        <v>58</v>
      </c>
      <c r="K49" s="18">
        <f t="shared" si="3"/>
        <v>58</v>
      </c>
      <c r="L49" s="18">
        <f t="shared" si="4"/>
        <v>0</v>
      </c>
      <c r="M49" s="21">
        <v>2584.37</v>
      </c>
      <c r="N49" s="2">
        <f t="shared" si="5"/>
        <v>1190.6300000000001</v>
      </c>
      <c r="O49" s="22">
        <f t="shared" si="6"/>
        <v>0.6742421080093921</v>
      </c>
    </row>
    <row r="50" spans="1:16" x14ac:dyDescent="0.25">
      <c r="A50" s="17" t="s">
        <v>101</v>
      </c>
      <c r="B50" s="18" t="s">
        <v>68</v>
      </c>
      <c r="C50" s="19">
        <v>0</v>
      </c>
      <c r="D50" s="20">
        <v>39</v>
      </c>
      <c r="E50" s="18">
        <v>39</v>
      </c>
      <c r="F50" s="18">
        <v>39</v>
      </c>
      <c r="G50" s="21">
        <v>0</v>
      </c>
      <c r="H50" s="21">
        <v>38.520000000000003</v>
      </c>
      <c r="I50" s="21">
        <v>39</v>
      </c>
      <c r="J50" s="18">
        <f t="shared" si="8"/>
        <v>0</v>
      </c>
      <c r="K50" s="18">
        <f t="shared" si="3"/>
        <v>0</v>
      </c>
      <c r="L50" s="18">
        <f t="shared" si="4"/>
        <v>0</v>
      </c>
      <c r="M50" s="21">
        <v>38.520000000000003</v>
      </c>
      <c r="N50" s="2">
        <f t="shared" si="5"/>
        <v>0.47999999999999687</v>
      </c>
      <c r="O50" s="22">
        <f t="shared" si="6"/>
        <v>0.98769230769230776</v>
      </c>
    </row>
    <row r="51" spans="1:16" x14ac:dyDescent="0.25">
      <c r="A51" s="17" t="s">
        <v>102</v>
      </c>
      <c r="B51" s="18" t="s">
        <v>103</v>
      </c>
      <c r="C51" s="19">
        <v>0</v>
      </c>
      <c r="D51" s="20">
        <v>793</v>
      </c>
      <c r="E51" s="18">
        <v>793</v>
      </c>
      <c r="F51" s="18">
        <v>793</v>
      </c>
      <c r="G51" s="21">
        <v>0</v>
      </c>
      <c r="H51" s="21">
        <v>792.34</v>
      </c>
      <c r="I51" s="21">
        <v>793</v>
      </c>
      <c r="J51" s="18">
        <f t="shared" si="8"/>
        <v>0</v>
      </c>
      <c r="K51" s="18">
        <f t="shared" si="3"/>
        <v>0</v>
      </c>
      <c r="L51" s="18">
        <f t="shared" si="4"/>
        <v>0</v>
      </c>
      <c r="M51" s="21">
        <v>0</v>
      </c>
      <c r="N51" s="2">
        <f t="shared" si="5"/>
        <v>793</v>
      </c>
      <c r="O51" s="22">
        <f t="shared" si="6"/>
        <v>0.9991677175283733</v>
      </c>
    </row>
    <row r="52" spans="1:16" x14ac:dyDescent="0.25">
      <c r="A52" s="17" t="s">
        <v>104</v>
      </c>
      <c r="B52" s="18" t="s">
        <v>105</v>
      </c>
      <c r="C52" s="19">
        <v>0</v>
      </c>
      <c r="D52" s="20">
        <v>343</v>
      </c>
      <c r="E52" s="18">
        <v>343</v>
      </c>
      <c r="F52" s="18">
        <v>343</v>
      </c>
      <c r="G52" s="21">
        <v>0</v>
      </c>
      <c r="H52" s="21">
        <v>219</v>
      </c>
      <c r="I52" s="21">
        <v>219</v>
      </c>
      <c r="J52" s="18">
        <f t="shared" si="8"/>
        <v>124</v>
      </c>
      <c r="K52" s="18">
        <f t="shared" si="3"/>
        <v>124</v>
      </c>
      <c r="L52" s="18">
        <f t="shared" si="4"/>
        <v>0</v>
      </c>
      <c r="M52" s="21">
        <v>219</v>
      </c>
      <c r="N52" s="2">
        <f t="shared" si="5"/>
        <v>0</v>
      </c>
      <c r="O52" s="22">
        <f t="shared" si="6"/>
        <v>0.63848396501457727</v>
      </c>
    </row>
    <row r="53" spans="1:16" x14ac:dyDescent="0.25">
      <c r="A53" s="17" t="s">
        <v>106</v>
      </c>
      <c r="B53" s="18" t="s">
        <v>107</v>
      </c>
      <c r="C53" s="19">
        <v>0</v>
      </c>
      <c r="D53" s="20">
        <v>292</v>
      </c>
      <c r="E53" s="18">
        <v>292</v>
      </c>
      <c r="F53" s="18">
        <v>292</v>
      </c>
      <c r="G53" s="21">
        <v>0</v>
      </c>
      <c r="H53" s="21">
        <v>215</v>
      </c>
      <c r="I53" s="21">
        <v>215</v>
      </c>
      <c r="J53" s="18">
        <f t="shared" si="8"/>
        <v>77</v>
      </c>
      <c r="K53" s="18">
        <f t="shared" si="3"/>
        <v>77</v>
      </c>
      <c r="L53" s="18">
        <f t="shared" si="4"/>
        <v>0</v>
      </c>
      <c r="M53" s="21">
        <v>215</v>
      </c>
      <c r="N53" s="2">
        <f t="shared" si="5"/>
        <v>0</v>
      </c>
      <c r="O53" s="22">
        <f t="shared" si="6"/>
        <v>0.73630136986301364</v>
      </c>
    </row>
    <row r="54" spans="1:16" x14ac:dyDescent="0.25">
      <c r="A54" s="17" t="s">
        <v>108</v>
      </c>
      <c r="B54" s="18" t="s">
        <v>109</v>
      </c>
      <c r="C54" s="19">
        <v>0</v>
      </c>
      <c r="D54" s="20">
        <v>16771</v>
      </c>
      <c r="E54" s="18">
        <v>16771</v>
      </c>
      <c r="F54" s="18">
        <v>16771</v>
      </c>
      <c r="G54" s="21" t="s">
        <v>110</v>
      </c>
      <c r="H54" s="21">
        <f>SUM(405.96+16335)</f>
        <v>16740.96</v>
      </c>
      <c r="I54" s="21">
        <v>16741</v>
      </c>
      <c r="J54" s="18">
        <f t="shared" si="8"/>
        <v>30</v>
      </c>
      <c r="K54" s="18">
        <f t="shared" si="3"/>
        <v>30</v>
      </c>
      <c r="L54" s="18">
        <f t="shared" si="4"/>
        <v>0</v>
      </c>
      <c r="M54" s="21">
        <v>405.96</v>
      </c>
      <c r="N54" s="2">
        <f t="shared" si="5"/>
        <v>16335.04</v>
      </c>
      <c r="O54" s="22">
        <f t="shared" si="6"/>
        <v>0.99820881283167362</v>
      </c>
    </row>
    <row r="55" spans="1:16" x14ac:dyDescent="0.25">
      <c r="A55" s="17" t="s">
        <v>111</v>
      </c>
      <c r="B55" s="18" t="s">
        <v>112</v>
      </c>
      <c r="C55" s="19">
        <v>0</v>
      </c>
      <c r="D55" s="20">
        <v>569</v>
      </c>
      <c r="E55" s="18">
        <v>569</v>
      </c>
      <c r="F55" s="18">
        <v>569</v>
      </c>
      <c r="G55" s="21">
        <v>0</v>
      </c>
      <c r="H55" s="21">
        <v>568.99</v>
      </c>
      <c r="I55" s="21">
        <v>569</v>
      </c>
      <c r="J55" s="18">
        <f t="shared" si="8"/>
        <v>0</v>
      </c>
      <c r="K55" s="18">
        <f t="shared" si="3"/>
        <v>0</v>
      </c>
      <c r="L55" s="18">
        <f t="shared" si="4"/>
        <v>0</v>
      </c>
      <c r="M55" s="21">
        <v>568.99</v>
      </c>
      <c r="N55" s="2">
        <f t="shared" si="5"/>
        <v>9.9999999999909051E-3</v>
      </c>
      <c r="O55" s="22">
        <f t="shared" si="6"/>
        <v>0.9999824253075571</v>
      </c>
    </row>
    <row r="56" spans="1:16" s="10" customFormat="1" ht="42" customHeight="1" x14ac:dyDescent="0.25">
      <c r="A56" s="26" t="s">
        <v>113</v>
      </c>
      <c r="B56" s="27"/>
      <c r="C56" s="12">
        <f t="shared" ref="C56:I56" si="9">SUM(C57:C87)</f>
        <v>76122</v>
      </c>
      <c r="D56" s="13">
        <f t="shared" si="9"/>
        <v>-14123</v>
      </c>
      <c r="E56" s="5">
        <f t="shared" si="9"/>
        <v>61999</v>
      </c>
      <c r="F56" s="5">
        <f t="shared" si="9"/>
        <v>61499</v>
      </c>
      <c r="G56" s="14">
        <f t="shared" si="9"/>
        <v>0</v>
      </c>
      <c r="H56" s="14">
        <f t="shared" si="9"/>
        <v>13926.68</v>
      </c>
      <c r="I56" s="14">
        <f t="shared" si="9"/>
        <v>14262.810000000001</v>
      </c>
      <c r="J56" s="5">
        <f t="shared" si="8"/>
        <v>47236.19</v>
      </c>
      <c r="K56" s="5">
        <f t="shared" si="3"/>
        <v>47736.19</v>
      </c>
      <c r="L56" s="5">
        <f t="shared" si="4"/>
        <v>500</v>
      </c>
      <c r="M56" s="14">
        <f>SUM(M57:M87)</f>
        <v>3554.3</v>
      </c>
      <c r="N56" s="10">
        <f t="shared" si="5"/>
        <v>10708.510000000002</v>
      </c>
      <c r="O56" s="25">
        <f t="shared" si="6"/>
        <v>0.22645376347582888</v>
      </c>
      <c r="P56" s="28"/>
    </row>
    <row r="57" spans="1:16" x14ac:dyDescent="0.25">
      <c r="A57" s="17" t="s">
        <v>114</v>
      </c>
      <c r="B57" s="18" t="s">
        <v>115</v>
      </c>
      <c r="C57" s="19">
        <v>7000</v>
      </c>
      <c r="D57" s="20">
        <v>-5863</v>
      </c>
      <c r="E57" s="18">
        <v>1137</v>
      </c>
      <c r="F57" s="18">
        <v>1137</v>
      </c>
      <c r="G57" s="21">
        <v>0</v>
      </c>
      <c r="H57" s="21">
        <v>1136.22</v>
      </c>
      <c r="I57" s="21">
        <v>1136.22</v>
      </c>
      <c r="J57" s="18">
        <f t="shared" si="8"/>
        <v>0.77999999999997272</v>
      </c>
      <c r="K57" s="18">
        <f t="shared" si="3"/>
        <v>0.77999999999997272</v>
      </c>
      <c r="L57" s="18">
        <f t="shared" si="4"/>
        <v>0</v>
      </c>
      <c r="M57" s="21">
        <f>SUM(107.12+355.12)</f>
        <v>462.24</v>
      </c>
      <c r="N57" s="2">
        <f t="shared" si="5"/>
        <v>673.98</v>
      </c>
      <c r="O57" s="22">
        <f t="shared" si="6"/>
        <v>0.99931398416886541</v>
      </c>
    </row>
    <row r="58" spans="1:16" x14ac:dyDescent="0.25">
      <c r="A58" s="17" t="s">
        <v>116</v>
      </c>
      <c r="B58" s="18" t="s">
        <v>117</v>
      </c>
      <c r="C58" s="19">
        <v>1186</v>
      </c>
      <c r="D58" s="20">
        <v>-61</v>
      </c>
      <c r="E58" s="18">
        <v>1125</v>
      </c>
      <c r="F58" s="18">
        <v>1125</v>
      </c>
      <c r="G58" s="21">
        <v>0</v>
      </c>
      <c r="H58" s="21">
        <v>1080.5</v>
      </c>
      <c r="I58" s="21">
        <v>1124.5</v>
      </c>
      <c r="J58" s="18">
        <f t="shared" si="8"/>
        <v>0.5</v>
      </c>
      <c r="K58" s="18">
        <f t="shared" si="3"/>
        <v>0.5</v>
      </c>
      <c r="L58" s="18">
        <f t="shared" si="4"/>
        <v>0</v>
      </c>
      <c r="M58" s="21">
        <v>265</v>
      </c>
      <c r="N58" s="2">
        <f t="shared" si="5"/>
        <v>859.5</v>
      </c>
      <c r="O58" s="22">
        <f t="shared" si="6"/>
        <v>0.96044444444444443</v>
      </c>
    </row>
    <row r="59" spans="1:16" x14ac:dyDescent="0.25">
      <c r="A59" s="17" t="s">
        <v>118</v>
      </c>
      <c r="B59" s="18" t="s">
        <v>119</v>
      </c>
      <c r="C59" s="19">
        <v>6000</v>
      </c>
      <c r="D59" s="20">
        <v>-6000</v>
      </c>
      <c r="E59" s="18">
        <v>0</v>
      </c>
      <c r="F59" s="18">
        <v>0</v>
      </c>
      <c r="G59" s="21">
        <v>0</v>
      </c>
      <c r="H59" s="21">
        <v>0</v>
      </c>
      <c r="I59" s="21">
        <v>0</v>
      </c>
      <c r="J59" s="18">
        <f t="shared" si="8"/>
        <v>0</v>
      </c>
      <c r="K59" s="18">
        <f t="shared" si="3"/>
        <v>0</v>
      </c>
      <c r="L59" s="18">
        <f t="shared" si="4"/>
        <v>0</v>
      </c>
      <c r="M59" s="21">
        <v>0</v>
      </c>
      <c r="N59" s="2">
        <f t="shared" si="5"/>
        <v>0</v>
      </c>
      <c r="O59" s="22">
        <v>0</v>
      </c>
    </row>
    <row r="60" spans="1:16" x14ac:dyDescent="0.25">
      <c r="A60" s="17" t="s">
        <v>120</v>
      </c>
      <c r="B60" s="18" t="s">
        <v>121</v>
      </c>
      <c r="C60" s="19">
        <v>5000</v>
      </c>
      <c r="D60" s="20">
        <v>0</v>
      </c>
      <c r="E60" s="18">
        <v>5000</v>
      </c>
      <c r="F60" s="18">
        <v>5000</v>
      </c>
      <c r="G60" s="21">
        <v>0</v>
      </c>
      <c r="H60" s="21">
        <v>1900</v>
      </c>
      <c r="I60" s="21">
        <v>1900</v>
      </c>
      <c r="J60" s="18">
        <f t="shared" si="8"/>
        <v>3100</v>
      </c>
      <c r="K60" s="18">
        <f t="shared" si="3"/>
        <v>3100</v>
      </c>
      <c r="L60" s="18">
        <f t="shared" si="4"/>
        <v>0</v>
      </c>
      <c r="M60" s="21">
        <v>417.07</v>
      </c>
      <c r="N60" s="2">
        <f t="shared" si="5"/>
        <v>1482.93</v>
      </c>
      <c r="O60" s="22">
        <f t="shared" si="6"/>
        <v>0.38</v>
      </c>
    </row>
    <row r="61" spans="1:16" x14ac:dyDescent="0.25">
      <c r="A61" s="17" t="s">
        <v>122</v>
      </c>
      <c r="B61" s="18" t="s">
        <v>123</v>
      </c>
      <c r="C61" s="19">
        <v>6000</v>
      </c>
      <c r="D61" s="20">
        <v>0</v>
      </c>
      <c r="E61" s="18">
        <v>6000</v>
      </c>
      <c r="F61" s="18">
        <v>6000</v>
      </c>
      <c r="G61" s="21">
        <v>0</v>
      </c>
      <c r="H61" s="21">
        <v>1300</v>
      </c>
      <c r="I61" s="21">
        <v>1300</v>
      </c>
      <c r="J61" s="18">
        <f t="shared" si="8"/>
        <v>4700</v>
      </c>
      <c r="K61" s="18">
        <f t="shared" si="3"/>
        <v>4700</v>
      </c>
      <c r="L61" s="18">
        <f t="shared" si="4"/>
        <v>0</v>
      </c>
      <c r="M61" s="21">
        <v>296.29000000000002</v>
      </c>
      <c r="N61" s="2">
        <f t="shared" si="5"/>
        <v>1003.71</v>
      </c>
      <c r="O61" s="22">
        <f t="shared" si="6"/>
        <v>0.21666666666666667</v>
      </c>
    </row>
    <row r="62" spans="1:16" x14ac:dyDescent="0.25">
      <c r="A62" s="17" t="s">
        <v>124</v>
      </c>
      <c r="B62" s="18" t="s">
        <v>125</v>
      </c>
      <c r="C62" s="19">
        <v>2000</v>
      </c>
      <c r="D62" s="20">
        <v>0</v>
      </c>
      <c r="E62" s="18">
        <v>2000</v>
      </c>
      <c r="F62" s="18">
        <v>2000</v>
      </c>
      <c r="G62" s="21">
        <v>0</v>
      </c>
      <c r="H62" s="21">
        <v>0</v>
      </c>
      <c r="I62" s="21">
        <v>0</v>
      </c>
      <c r="J62" s="18">
        <f t="shared" si="8"/>
        <v>2000</v>
      </c>
      <c r="K62" s="18">
        <f t="shared" si="3"/>
        <v>2000</v>
      </c>
      <c r="L62" s="18">
        <f t="shared" si="4"/>
        <v>0</v>
      </c>
      <c r="M62" s="21">
        <v>0</v>
      </c>
      <c r="N62" s="2">
        <f t="shared" si="5"/>
        <v>0</v>
      </c>
      <c r="O62" s="22">
        <f t="shared" si="6"/>
        <v>0</v>
      </c>
    </row>
    <row r="63" spans="1:16" x14ac:dyDescent="0.25">
      <c r="A63" s="17" t="s">
        <v>126</v>
      </c>
      <c r="B63" s="18" t="s">
        <v>127</v>
      </c>
      <c r="C63" s="19">
        <v>4000</v>
      </c>
      <c r="D63" s="20">
        <v>-500</v>
      </c>
      <c r="E63" s="18">
        <v>3500</v>
      </c>
      <c r="F63" s="18">
        <v>3500</v>
      </c>
      <c r="G63" s="21">
        <v>0</v>
      </c>
      <c r="H63" s="21">
        <v>240.75</v>
      </c>
      <c r="I63" s="21">
        <v>241</v>
      </c>
      <c r="J63" s="18">
        <f t="shared" si="8"/>
        <v>3259</v>
      </c>
      <c r="K63" s="18">
        <f t="shared" si="3"/>
        <v>3259</v>
      </c>
      <c r="L63" s="18">
        <f t="shared" si="4"/>
        <v>0</v>
      </c>
      <c r="M63" s="21">
        <v>240.75</v>
      </c>
      <c r="N63" s="2">
        <f t="shared" si="5"/>
        <v>0.25</v>
      </c>
      <c r="O63" s="22">
        <f t="shared" si="6"/>
        <v>6.8785714285714283E-2</v>
      </c>
    </row>
    <row r="64" spans="1:16" x14ac:dyDescent="0.25">
      <c r="A64" s="17" t="s">
        <v>128</v>
      </c>
      <c r="B64" s="18" t="s">
        <v>129</v>
      </c>
      <c r="C64" s="19">
        <v>5000</v>
      </c>
      <c r="D64" s="20">
        <v>0</v>
      </c>
      <c r="E64" s="18">
        <v>5000</v>
      </c>
      <c r="F64" s="18">
        <v>5000</v>
      </c>
      <c r="G64" s="21">
        <v>0</v>
      </c>
      <c r="H64" s="21">
        <v>664.47</v>
      </c>
      <c r="I64" s="21">
        <v>665</v>
      </c>
      <c r="J64" s="18">
        <f t="shared" si="8"/>
        <v>4335</v>
      </c>
      <c r="K64" s="18">
        <f t="shared" si="3"/>
        <v>4335</v>
      </c>
      <c r="L64" s="18">
        <f t="shared" si="4"/>
        <v>0</v>
      </c>
      <c r="M64" s="21">
        <v>664.47</v>
      </c>
      <c r="N64" s="2">
        <f t="shared" si="5"/>
        <v>0.52999999999997272</v>
      </c>
      <c r="O64" s="22">
        <f t="shared" si="6"/>
        <v>0.13289400000000001</v>
      </c>
    </row>
    <row r="65" spans="1:15" x14ac:dyDescent="0.25">
      <c r="A65" s="17" t="s">
        <v>130</v>
      </c>
      <c r="B65" s="18" t="s">
        <v>131</v>
      </c>
      <c r="C65" s="19">
        <v>3500</v>
      </c>
      <c r="D65" s="20">
        <v>0</v>
      </c>
      <c r="E65" s="18">
        <v>3500</v>
      </c>
      <c r="F65" s="18">
        <v>3500</v>
      </c>
      <c r="G65" s="21">
        <v>0</v>
      </c>
      <c r="H65" s="21">
        <v>370.75</v>
      </c>
      <c r="I65" s="21">
        <v>370.75</v>
      </c>
      <c r="J65" s="18">
        <f t="shared" si="8"/>
        <v>3129.25</v>
      </c>
      <c r="K65" s="18">
        <f t="shared" si="3"/>
        <v>3129.25</v>
      </c>
      <c r="L65" s="18">
        <f t="shared" si="4"/>
        <v>0</v>
      </c>
      <c r="M65" s="21">
        <v>0</v>
      </c>
      <c r="N65" s="2">
        <f t="shared" si="5"/>
        <v>370.75</v>
      </c>
      <c r="O65" s="22">
        <f t="shared" si="6"/>
        <v>0.10592857142857143</v>
      </c>
    </row>
    <row r="66" spans="1:15" x14ac:dyDescent="0.25">
      <c r="A66" s="17" t="s">
        <v>132</v>
      </c>
      <c r="B66" s="18" t="s">
        <v>133</v>
      </c>
      <c r="C66" s="19">
        <v>1500</v>
      </c>
      <c r="D66" s="20">
        <v>0</v>
      </c>
      <c r="E66" s="18">
        <v>1500</v>
      </c>
      <c r="F66" s="18">
        <v>1500</v>
      </c>
      <c r="G66" s="21">
        <v>0</v>
      </c>
      <c r="H66" s="21">
        <v>0</v>
      </c>
      <c r="I66" s="21">
        <v>0</v>
      </c>
      <c r="J66" s="18">
        <f t="shared" si="8"/>
        <v>1500</v>
      </c>
      <c r="K66" s="18">
        <f t="shared" si="3"/>
        <v>1500</v>
      </c>
      <c r="L66" s="18">
        <f t="shared" si="4"/>
        <v>0</v>
      </c>
      <c r="M66" s="21">
        <v>0</v>
      </c>
      <c r="N66" s="2">
        <f t="shared" si="5"/>
        <v>0</v>
      </c>
      <c r="O66" s="22">
        <f t="shared" si="6"/>
        <v>0</v>
      </c>
    </row>
    <row r="67" spans="1:15" x14ac:dyDescent="0.25">
      <c r="A67" s="17" t="s">
        <v>134</v>
      </c>
      <c r="B67" s="18" t="s">
        <v>135</v>
      </c>
      <c r="C67" s="19">
        <v>2000</v>
      </c>
      <c r="D67" s="20">
        <v>-1000</v>
      </c>
      <c r="E67" s="18">
        <v>1000</v>
      </c>
      <c r="F67" s="18">
        <f>SUM(925+75)</f>
        <v>1000</v>
      </c>
      <c r="G67" s="21">
        <v>0</v>
      </c>
      <c r="H67" s="21"/>
      <c r="I67" s="21"/>
      <c r="J67" s="18">
        <f t="shared" si="8"/>
        <v>1000</v>
      </c>
      <c r="K67" s="18">
        <f t="shared" si="3"/>
        <v>1000</v>
      </c>
      <c r="L67" s="18">
        <f t="shared" si="4"/>
        <v>0</v>
      </c>
      <c r="M67" s="21">
        <v>0</v>
      </c>
      <c r="N67" s="2">
        <f t="shared" si="5"/>
        <v>0</v>
      </c>
      <c r="O67" s="22">
        <f t="shared" si="6"/>
        <v>0</v>
      </c>
    </row>
    <row r="68" spans="1:15" x14ac:dyDescent="0.25">
      <c r="A68" s="17" t="s">
        <v>136</v>
      </c>
      <c r="B68" s="18" t="s">
        <v>137</v>
      </c>
      <c r="C68" s="19">
        <v>436</v>
      </c>
      <c r="D68" s="20">
        <v>-436</v>
      </c>
      <c r="E68" s="18">
        <v>0</v>
      </c>
      <c r="F68" s="18">
        <v>0</v>
      </c>
      <c r="G68" s="21">
        <v>0</v>
      </c>
      <c r="H68" s="21">
        <v>0</v>
      </c>
      <c r="I68" s="21">
        <v>0</v>
      </c>
      <c r="J68" s="18">
        <f t="shared" si="8"/>
        <v>0</v>
      </c>
      <c r="K68" s="18">
        <f t="shared" si="3"/>
        <v>0</v>
      </c>
      <c r="L68" s="18">
        <f t="shared" si="4"/>
        <v>0</v>
      </c>
      <c r="M68" s="21">
        <v>0</v>
      </c>
      <c r="N68" s="2">
        <f t="shared" si="5"/>
        <v>0</v>
      </c>
      <c r="O68" s="22">
        <v>0</v>
      </c>
    </row>
    <row r="69" spans="1:15" x14ac:dyDescent="0.25">
      <c r="A69" s="17" t="s">
        <v>138</v>
      </c>
      <c r="B69" s="18" t="s">
        <v>139</v>
      </c>
      <c r="C69" s="19">
        <v>2000</v>
      </c>
      <c r="D69" s="20">
        <v>0</v>
      </c>
      <c r="E69" s="18">
        <v>2000</v>
      </c>
      <c r="F69" s="18">
        <f>SUM(1000+500)</f>
        <v>1500</v>
      </c>
      <c r="G69" s="21">
        <v>0</v>
      </c>
      <c r="H69" s="21">
        <v>1053.1300000000001</v>
      </c>
      <c r="I69" s="21">
        <v>1053.1300000000001</v>
      </c>
      <c r="J69" s="18">
        <f t="shared" si="8"/>
        <v>446.86999999999989</v>
      </c>
      <c r="K69" s="18">
        <f t="shared" si="3"/>
        <v>946.86999999999989</v>
      </c>
      <c r="L69" s="18">
        <f t="shared" si="4"/>
        <v>500</v>
      </c>
      <c r="M69" s="21">
        <v>0</v>
      </c>
      <c r="N69" s="2">
        <f t="shared" si="5"/>
        <v>1053.1300000000001</v>
      </c>
      <c r="O69" s="22">
        <f t="shared" si="6"/>
        <v>0.70208666666666675</v>
      </c>
    </row>
    <row r="70" spans="1:15" x14ac:dyDescent="0.25">
      <c r="A70" s="17" t="s">
        <v>140</v>
      </c>
      <c r="B70" s="18" t="s">
        <v>141</v>
      </c>
      <c r="C70" s="19">
        <v>1000</v>
      </c>
      <c r="D70" s="20">
        <v>0</v>
      </c>
      <c r="E70" s="18">
        <v>1000</v>
      </c>
      <c r="F70" s="18">
        <v>1000</v>
      </c>
      <c r="G70" s="21">
        <v>0</v>
      </c>
      <c r="H70" s="21">
        <v>0</v>
      </c>
      <c r="I70" s="21">
        <v>0</v>
      </c>
      <c r="J70" s="18">
        <f t="shared" si="8"/>
        <v>1000</v>
      </c>
      <c r="K70" s="18">
        <f t="shared" si="3"/>
        <v>1000</v>
      </c>
      <c r="L70" s="18">
        <f t="shared" si="4"/>
        <v>0</v>
      </c>
      <c r="M70" s="21">
        <v>0</v>
      </c>
      <c r="N70" s="2">
        <f t="shared" si="5"/>
        <v>0</v>
      </c>
      <c r="O70" s="22">
        <f t="shared" si="6"/>
        <v>0</v>
      </c>
    </row>
    <row r="71" spans="1:15" x14ac:dyDescent="0.25">
      <c r="A71" s="17" t="s">
        <v>142</v>
      </c>
      <c r="B71" s="18" t="s">
        <v>143</v>
      </c>
      <c r="C71" s="19">
        <v>1000</v>
      </c>
      <c r="D71" s="20">
        <v>0</v>
      </c>
      <c r="E71" s="18">
        <v>1000</v>
      </c>
      <c r="F71" s="18">
        <v>1000</v>
      </c>
      <c r="G71" s="21">
        <v>0</v>
      </c>
      <c r="H71" s="21">
        <v>79.989999999999995</v>
      </c>
      <c r="I71" s="21">
        <v>79.989999999999995</v>
      </c>
      <c r="J71" s="18">
        <f t="shared" si="8"/>
        <v>920.01</v>
      </c>
      <c r="K71" s="18">
        <f t="shared" si="3"/>
        <v>920.01</v>
      </c>
      <c r="L71" s="18">
        <f t="shared" si="4"/>
        <v>0</v>
      </c>
      <c r="M71" s="21">
        <v>0</v>
      </c>
      <c r="N71" s="2">
        <f t="shared" si="5"/>
        <v>79.989999999999995</v>
      </c>
      <c r="O71" s="22">
        <f t="shared" si="6"/>
        <v>7.9989999999999992E-2</v>
      </c>
    </row>
    <row r="72" spans="1:15" x14ac:dyDescent="0.25">
      <c r="A72" s="17" t="s">
        <v>144</v>
      </c>
      <c r="B72" s="18" t="s">
        <v>145</v>
      </c>
      <c r="C72" s="19">
        <v>1000</v>
      </c>
      <c r="D72" s="20">
        <v>0</v>
      </c>
      <c r="E72" s="18">
        <v>1000</v>
      </c>
      <c r="F72" s="18">
        <v>1000</v>
      </c>
      <c r="G72" s="21">
        <v>0</v>
      </c>
      <c r="H72" s="21">
        <v>53.15</v>
      </c>
      <c r="I72" s="21">
        <v>54</v>
      </c>
      <c r="J72" s="18">
        <f t="shared" si="8"/>
        <v>946</v>
      </c>
      <c r="K72" s="18">
        <f t="shared" si="3"/>
        <v>946</v>
      </c>
      <c r="L72" s="18">
        <f t="shared" si="4"/>
        <v>0</v>
      </c>
      <c r="M72" s="21">
        <v>53.15</v>
      </c>
      <c r="N72" s="2">
        <f t="shared" si="5"/>
        <v>0.85000000000000142</v>
      </c>
      <c r="O72" s="22">
        <f t="shared" si="6"/>
        <v>5.3149999999999996E-2</v>
      </c>
    </row>
    <row r="73" spans="1:15" x14ac:dyDescent="0.25">
      <c r="A73" s="17" t="s">
        <v>146</v>
      </c>
      <c r="B73" s="18" t="s">
        <v>147</v>
      </c>
      <c r="C73" s="19">
        <v>1000</v>
      </c>
      <c r="D73" s="20">
        <v>0</v>
      </c>
      <c r="E73" s="18">
        <v>1000</v>
      </c>
      <c r="F73" s="18">
        <f>SUM(900+100)</f>
        <v>1000</v>
      </c>
      <c r="G73" s="21">
        <v>0</v>
      </c>
      <c r="H73" s="21">
        <v>0</v>
      </c>
      <c r="I73" s="21"/>
      <c r="J73" s="18">
        <f t="shared" si="8"/>
        <v>1000</v>
      </c>
      <c r="K73" s="18">
        <f t="shared" si="3"/>
        <v>1000</v>
      </c>
      <c r="L73" s="18">
        <f t="shared" si="4"/>
        <v>0</v>
      </c>
      <c r="M73" s="21">
        <v>0</v>
      </c>
      <c r="N73" s="2">
        <f t="shared" si="5"/>
        <v>0</v>
      </c>
      <c r="O73" s="22">
        <f t="shared" si="6"/>
        <v>0</v>
      </c>
    </row>
    <row r="74" spans="1:15" x14ac:dyDescent="0.25">
      <c r="A74" s="17" t="s">
        <v>148</v>
      </c>
      <c r="B74" s="18" t="s">
        <v>149</v>
      </c>
      <c r="C74" s="19">
        <v>1500</v>
      </c>
      <c r="D74" s="20">
        <v>0</v>
      </c>
      <c r="E74" s="18">
        <v>1500</v>
      </c>
      <c r="F74" s="18">
        <v>1500</v>
      </c>
      <c r="G74" s="21">
        <v>0</v>
      </c>
      <c r="H74" s="21">
        <v>0</v>
      </c>
      <c r="I74" s="21">
        <v>0</v>
      </c>
      <c r="J74" s="18">
        <f t="shared" si="8"/>
        <v>1500</v>
      </c>
      <c r="K74" s="18">
        <f t="shared" ref="K74:K98" si="10">SUM(E74-I74)</f>
        <v>1500</v>
      </c>
      <c r="L74" s="18">
        <f t="shared" ref="L74:L97" si="11">SUM(E74-F74)</f>
        <v>0</v>
      </c>
      <c r="M74" s="21">
        <v>0</v>
      </c>
      <c r="N74" s="2">
        <f t="shared" ref="N74:N98" si="12">SUM(I74-M74)</f>
        <v>0</v>
      </c>
      <c r="O74" s="22">
        <f t="shared" ref="O74:O96" si="13">SUM(H74/F74*100%)</f>
        <v>0</v>
      </c>
    </row>
    <row r="75" spans="1:15" x14ac:dyDescent="0.25">
      <c r="A75" s="17" t="s">
        <v>150</v>
      </c>
      <c r="B75" s="18" t="s">
        <v>151</v>
      </c>
      <c r="C75" s="19">
        <v>0</v>
      </c>
      <c r="D75" s="20">
        <v>240</v>
      </c>
      <c r="E75" s="18">
        <v>240</v>
      </c>
      <c r="F75" s="18">
        <v>240</v>
      </c>
      <c r="G75" s="21">
        <v>0</v>
      </c>
      <c r="H75" s="21">
        <v>10.11</v>
      </c>
      <c r="I75" s="21">
        <v>11</v>
      </c>
      <c r="J75" s="18">
        <f t="shared" si="8"/>
        <v>229</v>
      </c>
      <c r="K75" s="18">
        <f t="shared" si="10"/>
        <v>229</v>
      </c>
      <c r="L75" s="18">
        <f t="shared" si="11"/>
        <v>0</v>
      </c>
      <c r="M75" s="21">
        <v>10.11</v>
      </c>
      <c r="N75" s="2">
        <f t="shared" si="12"/>
        <v>0.89000000000000057</v>
      </c>
      <c r="O75" s="22">
        <f t="shared" si="13"/>
        <v>4.2124999999999996E-2</v>
      </c>
    </row>
    <row r="76" spans="1:15" x14ac:dyDescent="0.25">
      <c r="A76" s="17" t="s">
        <v>152</v>
      </c>
      <c r="B76" s="18" t="s">
        <v>153</v>
      </c>
      <c r="C76" s="19">
        <v>2500</v>
      </c>
      <c r="D76" s="20">
        <v>0</v>
      </c>
      <c r="E76" s="18">
        <v>2500</v>
      </c>
      <c r="F76" s="18">
        <v>2500</v>
      </c>
      <c r="G76" s="21">
        <v>0</v>
      </c>
      <c r="H76" s="21">
        <v>0</v>
      </c>
      <c r="I76" s="21">
        <v>0</v>
      </c>
      <c r="J76" s="18">
        <f t="shared" si="8"/>
        <v>2500</v>
      </c>
      <c r="K76" s="18">
        <f t="shared" si="10"/>
        <v>2500</v>
      </c>
      <c r="L76" s="18">
        <f t="shared" si="11"/>
        <v>0</v>
      </c>
      <c r="M76" s="21">
        <v>0</v>
      </c>
      <c r="N76" s="2">
        <f t="shared" si="12"/>
        <v>0</v>
      </c>
      <c r="O76" s="22">
        <f t="shared" si="13"/>
        <v>0</v>
      </c>
    </row>
    <row r="77" spans="1:15" x14ac:dyDescent="0.25">
      <c r="A77" s="17" t="s">
        <v>154</v>
      </c>
      <c r="B77" s="18" t="s">
        <v>155</v>
      </c>
      <c r="C77" s="19">
        <v>2000</v>
      </c>
      <c r="D77" s="20">
        <v>-885</v>
      </c>
      <c r="E77" s="18">
        <v>1115</v>
      </c>
      <c r="F77" s="18">
        <v>1115</v>
      </c>
      <c r="G77" s="21">
        <v>0</v>
      </c>
      <c r="H77" s="21">
        <v>59.65</v>
      </c>
      <c r="I77" s="21">
        <v>65</v>
      </c>
      <c r="J77" s="18">
        <f t="shared" si="8"/>
        <v>1050</v>
      </c>
      <c r="K77" s="18">
        <f t="shared" si="10"/>
        <v>1050</v>
      </c>
      <c r="L77" s="18">
        <f t="shared" si="11"/>
        <v>0</v>
      </c>
      <c r="M77" s="21">
        <v>54.3</v>
      </c>
      <c r="N77" s="2">
        <f t="shared" si="12"/>
        <v>10.700000000000003</v>
      </c>
      <c r="O77" s="22">
        <f t="shared" si="13"/>
        <v>5.3497757847533634E-2</v>
      </c>
    </row>
    <row r="78" spans="1:15" x14ac:dyDescent="0.25">
      <c r="A78" s="17" t="s">
        <v>156</v>
      </c>
      <c r="B78" s="18" t="s">
        <v>157</v>
      </c>
      <c r="C78" s="19">
        <v>1000</v>
      </c>
      <c r="D78" s="20">
        <v>-500</v>
      </c>
      <c r="E78" s="18">
        <v>500</v>
      </c>
      <c r="F78" s="18">
        <v>500</v>
      </c>
      <c r="G78" s="21">
        <v>0</v>
      </c>
      <c r="H78" s="21">
        <f>SUM(117.7+45.33)</f>
        <v>163.03</v>
      </c>
      <c r="I78" s="21">
        <v>163.33000000000001</v>
      </c>
      <c r="J78" s="18">
        <f t="shared" si="8"/>
        <v>336.66999999999996</v>
      </c>
      <c r="K78" s="18">
        <f t="shared" si="10"/>
        <v>336.66999999999996</v>
      </c>
      <c r="L78" s="18">
        <f t="shared" si="11"/>
        <v>0</v>
      </c>
      <c r="M78" s="21">
        <v>0</v>
      </c>
      <c r="N78" s="2">
        <f t="shared" si="12"/>
        <v>163.33000000000001</v>
      </c>
      <c r="O78" s="22">
        <f t="shared" si="13"/>
        <v>0.32606000000000002</v>
      </c>
    </row>
    <row r="79" spans="1:15" x14ac:dyDescent="0.25">
      <c r="A79" s="17" t="s">
        <v>158</v>
      </c>
      <c r="B79" s="18" t="s">
        <v>159</v>
      </c>
      <c r="C79" s="19">
        <v>5000</v>
      </c>
      <c r="D79" s="20">
        <v>-500</v>
      </c>
      <c r="E79" s="18">
        <v>4500</v>
      </c>
      <c r="F79" s="18">
        <v>4500</v>
      </c>
      <c r="G79" s="21">
        <v>0</v>
      </c>
      <c r="H79" s="21">
        <v>815.82</v>
      </c>
      <c r="I79" s="21">
        <v>957.61</v>
      </c>
      <c r="J79" s="18">
        <f t="shared" si="8"/>
        <v>3542.39</v>
      </c>
      <c r="K79" s="18">
        <f t="shared" si="10"/>
        <v>3542.39</v>
      </c>
      <c r="L79" s="18">
        <f t="shared" si="11"/>
        <v>0</v>
      </c>
      <c r="M79" s="21">
        <v>0</v>
      </c>
      <c r="N79" s="2">
        <f t="shared" si="12"/>
        <v>957.61</v>
      </c>
      <c r="O79" s="22">
        <f t="shared" si="13"/>
        <v>0.18129333333333333</v>
      </c>
    </row>
    <row r="80" spans="1:15" x14ac:dyDescent="0.25">
      <c r="A80" s="17" t="s">
        <v>160</v>
      </c>
      <c r="B80" s="18" t="s">
        <v>161</v>
      </c>
      <c r="C80" s="19">
        <v>6000</v>
      </c>
      <c r="D80" s="20">
        <v>-600</v>
      </c>
      <c r="E80" s="18">
        <v>5400</v>
      </c>
      <c r="F80" s="18">
        <v>5400</v>
      </c>
      <c r="G80" s="21">
        <v>0</v>
      </c>
      <c r="H80" s="21">
        <f>SUM(393.02+2845.5)</f>
        <v>3238.52</v>
      </c>
      <c r="I80" s="21">
        <v>3271.5</v>
      </c>
      <c r="J80" s="18">
        <f t="shared" si="8"/>
        <v>2128.5</v>
      </c>
      <c r="K80" s="18">
        <f t="shared" si="10"/>
        <v>2128.5</v>
      </c>
      <c r="L80" s="18">
        <f t="shared" si="11"/>
        <v>0</v>
      </c>
      <c r="M80" s="21">
        <v>25.79</v>
      </c>
      <c r="N80" s="2">
        <f t="shared" si="12"/>
        <v>3245.71</v>
      </c>
      <c r="O80" s="22">
        <f t="shared" si="13"/>
        <v>0.59972592592592588</v>
      </c>
    </row>
    <row r="81" spans="1:15" x14ac:dyDescent="0.25">
      <c r="A81" s="17" t="s">
        <v>162</v>
      </c>
      <c r="B81" s="18" t="s">
        <v>163</v>
      </c>
      <c r="C81" s="19">
        <v>2500</v>
      </c>
      <c r="D81" s="20">
        <v>-100</v>
      </c>
      <c r="E81" s="18">
        <v>2400</v>
      </c>
      <c r="F81" s="18">
        <v>2400</v>
      </c>
      <c r="G81" s="21">
        <v>0</v>
      </c>
      <c r="H81" s="21">
        <v>89.67</v>
      </c>
      <c r="I81" s="21">
        <v>185.44</v>
      </c>
      <c r="J81" s="18">
        <f t="shared" si="8"/>
        <v>2214.56</v>
      </c>
      <c r="K81" s="18">
        <f t="shared" si="10"/>
        <v>2214.56</v>
      </c>
      <c r="L81" s="18">
        <f t="shared" si="11"/>
        <v>0</v>
      </c>
      <c r="M81" s="21">
        <v>0</v>
      </c>
      <c r="N81" s="2">
        <f t="shared" si="12"/>
        <v>185.44</v>
      </c>
      <c r="O81" s="22">
        <f t="shared" si="13"/>
        <v>3.73625E-2</v>
      </c>
    </row>
    <row r="82" spans="1:15" x14ac:dyDescent="0.25">
      <c r="A82" s="17" t="s">
        <v>164</v>
      </c>
      <c r="B82" s="18" t="s">
        <v>165</v>
      </c>
      <c r="C82" s="19">
        <v>6000</v>
      </c>
      <c r="D82" s="20">
        <v>-323</v>
      </c>
      <c r="E82" s="18">
        <v>5677</v>
      </c>
      <c r="F82" s="18">
        <v>5677</v>
      </c>
      <c r="G82" s="21">
        <v>0</v>
      </c>
      <c r="H82" s="21">
        <f>SUM(176.69+77)</f>
        <v>253.69</v>
      </c>
      <c r="I82" s="21">
        <v>265.67</v>
      </c>
      <c r="J82" s="18">
        <f t="shared" si="8"/>
        <v>5411.33</v>
      </c>
      <c r="K82" s="18">
        <f t="shared" si="10"/>
        <v>5411.33</v>
      </c>
      <c r="L82" s="18">
        <f t="shared" si="11"/>
        <v>0</v>
      </c>
      <c r="M82" s="21">
        <v>176.69</v>
      </c>
      <c r="N82" s="2">
        <f t="shared" si="12"/>
        <v>88.980000000000018</v>
      </c>
      <c r="O82" s="22">
        <f t="shared" si="13"/>
        <v>4.4687334859961243E-2</v>
      </c>
    </row>
    <row r="83" spans="1:15" x14ac:dyDescent="0.25">
      <c r="A83" s="17" t="s">
        <v>166</v>
      </c>
      <c r="B83" s="18" t="s">
        <v>167</v>
      </c>
      <c r="C83" s="19">
        <v>0</v>
      </c>
      <c r="D83" s="20">
        <v>112</v>
      </c>
      <c r="E83" s="18">
        <v>112</v>
      </c>
      <c r="F83" s="18">
        <v>112</v>
      </c>
      <c r="G83" s="21">
        <v>0</v>
      </c>
      <c r="H83" s="21">
        <v>82.63</v>
      </c>
      <c r="I83" s="21">
        <v>82.67</v>
      </c>
      <c r="J83" s="18">
        <f t="shared" si="8"/>
        <v>29.33</v>
      </c>
      <c r="K83" s="18">
        <f t="shared" si="10"/>
        <v>29.33</v>
      </c>
      <c r="L83" s="18">
        <f t="shared" si="11"/>
        <v>0</v>
      </c>
      <c r="M83" s="21">
        <v>82.63</v>
      </c>
      <c r="N83" s="2">
        <f t="shared" si="12"/>
        <v>4.0000000000006253E-2</v>
      </c>
      <c r="O83" s="22">
        <f t="shared" si="13"/>
        <v>0.73776785714285709</v>
      </c>
    </row>
    <row r="84" spans="1:15" x14ac:dyDescent="0.25">
      <c r="A84" s="17" t="s">
        <v>168</v>
      </c>
      <c r="B84" s="18" t="s">
        <v>169</v>
      </c>
      <c r="C84" s="19">
        <v>0</v>
      </c>
      <c r="D84" s="20">
        <v>623</v>
      </c>
      <c r="E84" s="18">
        <v>623</v>
      </c>
      <c r="F84" s="18">
        <v>623</v>
      </c>
      <c r="G84" s="21">
        <v>0</v>
      </c>
      <c r="H84" s="21">
        <v>433.71</v>
      </c>
      <c r="I84" s="21">
        <v>434</v>
      </c>
      <c r="J84" s="18">
        <f t="shared" si="8"/>
        <v>189</v>
      </c>
      <c r="K84" s="18">
        <f t="shared" si="10"/>
        <v>189</v>
      </c>
      <c r="L84" s="18">
        <f t="shared" si="11"/>
        <v>0</v>
      </c>
      <c r="M84" s="21">
        <v>433.71</v>
      </c>
      <c r="N84" s="2">
        <f t="shared" si="12"/>
        <v>0.29000000000002046</v>
      </c>
      <c r="O84" s="22">
        <f t="shared" si="13"/>
        <v>0.69616372391653292</v>
      </c>
    </row>
    <row r="85" spans="1:15" x14ac:dyDescent="0.25">
      <c r="A85" s="17" t="s">
        <v>170</v>
      </c>
      <c r="B85" s="18" t="s">
        <v>171</v>
      </c>
      <c r="C85" s="19">
        <v>0</v>
      </c>
      <c r="D85" s="20">
        <v>232</v>
      </c>
      <c r="E85" s="18">
        <v>232</v>
      </c>
      <c r="F85" s="18">
        <v>232</v>
      </c>
      <c r="G85" s="21">
        <v>0</v>
      </c>
      <c r="H85" s="21">
        <v>192.6</v>
      </c>
      <c r="I85" s="21">
        <v>193</v>
      </c>
      <c r="J85" s="18">
        <f t="shared" si="8"/>
        <v>39</v>
      </c>
      <c r="K85" s="18">
        <f t="shared" si="10"/>
        <v>39</v>
      </c>
      <c r="L85" s="18">
        <f t="shared" si="11"/>
        <v>0</v>
      </c>
      <c r="M85" s="21">
        <v>192.6</v>
      </c>
      <c r="N85" s="2">
        <f t="shared" si="12"/>
        <v>0.40000000000000568</v>
      </c>
      <c r="O85" s="22">
        <f t="shared" si="13"/>
        <v>0.83017241379310347</v>
      </c>
    </row>
    <row r="86" spans="1:15" x14ac:dyDescent="0.25">
      <c r="A86" s="17" t="s">
        <v>172</v>
      </c>
      <c r="B86" s="18" t="s">
        <v>173</v>
      </c>
      <c r="C86" s="19">
        <v>0</v>
      </c>
      <c r="D86" s="20">
        <v>3</v>
      </c>
      <c r="E86" s="18">
        <v>3</v>
      </c>
      <c r="F86" s="18">
        <v>3</v>
      </c>
      <c r="G86" s="21">
        <v>0</v>
      </c>
      <c r="H86" s="21">
        <v>0</v>
      </c>
      <c r="I86" s="21">
        <v>0</v>
      </c>
      <c r="J86" s="18">
        <f t="shared" ref="J86:J98" si="14">SUM(F86-I86)</f>
        <v>3</v>
      </c>
      <c r="K86" s="18">
        <f t="shared" si="10"/>
        <v>3</v>
      </c>
      <c r="L86" s="18">
        <f t="shared" si="11"/>
        <v>0</v>
      </c>
      <c r="M86" s="21">
        <v>0</v>
      </c>
      <c r="N86" s="2">
        <f t="shared" si="12"/>
        <v>0</v>
      </c>
      <c r="O86" s="22">
        <f t="shared" si="13"/>
        <v>0</v>
      </c>
    </row>
    <row r="87" spans="1:15" x14ac:dyDescent="0.25">
      <c r="A87" s="17" t="s">
        <v>174</v>
      </c>
      <c r="B87" s="18" t="s">
        <v>175</v>
      </c>
      <c r="C87" s="19">
        <v>0</v>
      </c>
      <c r="D87" s="20">
        <v>1435</v>
      </c>
      <c r="E87" s="18">
        <v>1435</v>
      </c>
      <c r="F87" s="18">
        <v>1435</v>
      </c>
      <c r="G87" s="21">
        <v>0</v>
      </c>
      <c r="H87" s="21">
        <f>SUM(454.76+253.53)</f>
        <v>708.29</v>
      </c>
      <c r="I87" s="21">
        <v>709</v>
      </c>
      <c r="J87" s="18">
        <f t="shared" si="14"/>
        <v>726</v>
      </c>
      <c r="K87" s="18">
        <f t="shared" si="10"/>
        <v>726</v>
      </c>
      <c r="L87" s="18">
        <f t="shared" si="11"/>
        <v>0</v>
      </c>
      <c r="M87" s="21">
        <v>179.5</v>
      </c>
      <c r="N87" s="2">
        <f t="shared" si="12"/>
        <v>529.5</v>
      </c>
      <c r="O87" s="22">
        <f t="shared" si="13"/>
        <v>0.49358188153310101</v>
      </c>
    </row>
    <row r="88" spans="1:15" s="10" customFormat="1" x14ac:dyDescent="0.25">
      <c r="A88" s="23" t="s">
        <v>176</v>
      </c>
      <c r="B88" s="24"/>
      <c r="C88" s="12">
        <f t="shared" ref="C88:I88" si="15">SUM(C89:C94)</f>
        <v>19402</v>
      </c>
      <c r="D88" s="13">
        <f t="shared" si="15"/>
        <v>-5769</v>
      </c>
      <c r="E88" s="5">
        <f t="shared" si="15"/>
        <v>13633</v>
      </c>
      <c r="F88" s="5">
        <f t="shared" si="15"/>
        <v>13633</v>
      </c>
      <c r="G88" s="14">
        <f t="shared" si="15"/>
        <v>0</v>
      </c>
      <c r="H88" s="14">
        <f t="shared" si="15"/>
        <v>2313.67</v>
      </c>
      <c r="I88" s="14">
        <f t="shared" si="15"/>
        <v>6913.34</v>
      </c>
      <c r="J88" s="18">
        <f t="shared" si="14"/>
        <v>6719.66</v>
      </c>
      <c r="K88" s="5">
        <f t="shared" si="10"/>
        <v>6719.66</v>
      </c>
      <c r="L88" s="5">
        <f t="shared" si="11"/>
        <v>0</v>
      </c>
      <c r="M88" s="14">
        <f>SUM(M89:M94)</f>
        <v>1559.53</v>
      </c>
      <c r="N88" s="10">
        <f t="shared" si="12"/>
        <v>5353.81</v>
      </c>
      <c r="O88" s="22">
        <f t="shared" si="13"/>
        <v>0.16971099537886011</v>
      </c>
    </row>
    <row r="89" spans="1:15" x14ac:dyDescent="0.25">
      <c r="A89" s="17" t="s">
        <v>177</v>
      </c>
      <c r="B89" s="18" t="s">
        <v>178</v>
      </c>
      <c r="C89" s="19">
        <v>0</v>
      </c>
      <c r="D89" s="20">
        <v>402</v>
      </c>
      <c r="E89" s="18">
        <v>402</v>
      </c>
      <c r="F89" s="18">
        <v>402</v>
      </c>
      <c r="G89" s="21">
        <v>0</v>
      </c>
      <c r="H89" s="21">
        <v>401.2</v>
      </c>
      <c r="I89" s="21">
        <v>402</v>
      </c>
      <c r="J89" s="18">
        <f t="shared" si="14"/>
        <v>0</v>
      </c>
      <c r="K89" s="18">
        <f t="shared" si="10"/>
        <v>0</v>
      </c>
      <c r="L89" s="18">
        <f t="shared" si="11"/>
        <v>0</v>
      </c>
      <c r="M89" s="21">
        <v>0</v>
      </c>
      <c r="N89" s="2">
        <f t="shared" si="12"/>
        <v>402</v>
      </c>
      <c r="O89" s="22">
        <f t="shared" si="13"/>
        <v>0.99800995024875616</v>
      </c>
    </row>
    <row r="90" spans="1:15" x14ac:dyDescent="0.25">
      <c r="A90" s="17" t="s">
        <v>179</v>
      </c>
      <c r="B90" s="18" t="s">
        <v>180</v>
      </c>
      <c r="C90" s="19">
        <v>6402</v>
      </c>
      <c r="D90" s="20">
        <v>-6402</v>
      </c>
      <c r="E90" s="18">
        <v>0</v>
      </c>
      <c r="F90" s="18">
        <v>0</v>
      </c>
      <c r="G90" s="21">
        <v>0</v>
      </c>
      <c r="H90" s="21">
        <v>0</v>
      </c>
      <c r="I90" s="21">
        <v>0</v>
      </c>
      <c r="J90" s="18">
        <f t="shared" si="14"/>
        <v>0</v>
      </c>
      <c r="K90" s="18">
        <f t="shared" si="10"/>
        <v>0</v>
      </c>
      <c r="L90" s="18">
        <f t="shared" si="11"/>
        <v>0</v>
      </c>
      <c r="M90" s="21">
        <v>0</v>
      </c>
      <c r="N90" s="2">
        <f t="shared" si="12"/>
        <v>0</v>
      </c>
      <c r="O90" s="22">
        <v>0</v>
      </c>
    </row>
    <row r="91" spans="1:15" x14ac:dyDescent="0.25">
      <c r="A91" s="17" t="s">
        <v>181</v>
      </c>
      <c r="B91" s="18" t="s">
        <v>182</v>
      </c>
      <c r="C91" s="19">
        <v>1000</v>
      </c>
      <c r="D91" s="20">
        <v>0</v>
      </c>
      <c r="E91" s="18">
        <v>1000</v>
      </c>
      <c r="F91" s="18">
        <v>1000</v>
      </c>
      <c r="G91" s="21">
        <v>0</v>
      </c>
      <c r="H91" s="21">
        <v>0</v>
      </c>
      <c r="I91" s="21">
        <v>0.97</v>
      </c>
      <c r="J91" s="18">
        <f t="shared" si="14"/>
        <v>999.03</v>
      </c>
      <c r="K91" s="18">
        <f t="shared" si="10"/>
        <v>999.03</v>
      </c>
      <c r="L91" s="18">
        <f t="shared" si="11"/>
        <v>0</v>
      </c>
      <c r="M91" s="21">
        <v>0</v>
      </c>
      <c r="N91" s="2">
        <f t="shared" si="12"/>
        <v>0.97</v>
      </c>
      <c r="O91" s="22">
        <f t="shared" si="13"/>
        <v>0</v>
      </c>
    </row>
    <row r="92" spans="1:15" x14ac:dyDescent="0.25">
      <c r="A92" s="17" t="s">
        <v>183</v>
      </c>
      <c r="B92" s="18" t="s">
        <v>184</v>
      </c>
      <c r="C92" s="19">
        <v>2000</v>
      </c>
      <c r="D92" s="20">
        <v>-647</v>
      </c>
      <c r="E92" s="18">
        <v>1353</v>
      </c>
      <c r="F92" s="18">
        <v>1353</v>
      </c>
      <c r="G92" s="21">
        <v>0</v>
      </c>
      <c r="H92" s="21">
        <v>352.94</v>
      </c>
      <c r="I92" s="21">
        <v>352.97</v>
      </c>
      <c r="J92" s="18">
        <f t="shared" si="14"/>
        <v>1000.03</v>
      </c>
      <c r="K92" s="18">
        <f t="shared" si="10"/>
        <v>1000.03</v>
      </c>
      <c r="L92" s="18">
        <f t="shared" si="11"/>
        <v>0</v>
      </c>
      <c r="M92" s="21">
        <v>0</v>
      </c>
      <c r="N92" s="2">
        <f t="shared" si="12"/>
        <v>352.97</v>
      </c>
      <c r="O92" s="22">
        <f t="shared" si="13"/>
        <v>0.26085735402808574</v>
      </c>
    </row>
    <row r="93" spans="1:15" x14ac:dyDescent="0.25">
      <c r="A93" s="17" t="s">
        <v>185</v>
      </c>
      <c r="B93" s="18" t="s">
        <v>186</v>
      </c>
      <c r="C93" s="19">
        <v>0</v>
      </c>
      <c r="D93" s="20">
        <v>878</v>
      </c>
      <c r="E93" s="18">
        <v>878</v>
      </c>
      <c r="F93" s="18">
        <v>878</v>
      </c>
      <c r="G93" s="21">
        <v>0</v>
      </c>
      <c r="H93" s="21">
        <v>877.4</v>
      </c>
      <c r="I93" s="21">
        <v>878</v>
      </c>
      <c r="J93" s="18">
        <f t="shared" si="14"/>
        <v>0</v>
      </c>
      <c r="K93" s="18">
        <f t="shared" si="10"/>
        <v>0</v>
      </c>
      <c r="L93" s="18">
        <f t="shared" si="11"/>
        <v>0</v>
      </c>
      <c r="M93" s="21">
        <v>877.4</v>
      </c>
      <c r="N93" s="2">
        <f t="shared" si="12"/>
        <v>0.60000000000002274</v>
      </c>
      <c r="O93" s="22">
        <f t="shared" si="13"/>
        <v>0.99931662870159454</v>
      </c>
    </row>
    <row r="94" spans="1:15" x14ac:dyDescent="0.25">
      <c r="A94" s="17" t="s">
        <v>187</v>
      </c>
      <c r="B94" s="18" t="s">
        <v>188</v>
      </c>
      <c r="C94" s="19">
        <v>10000</v>
      </c>
      <c r="D94" s="20">
        <v>0</v>
      </c>
      <c r="E94" s="18">
        <v>10000</v>
      </c>
      <c r="F94" s="18">
        <v>10000</v>
      </c>
      <c r="G94" s="21">
        <v>0</v>
      </c>
      <c r="H94" s="21">
        <v>682.13</v>
      </c>
      <c r="I94" s="21">
        <v>5279.4</v>
      </c>
      <c r="J94" s="18">
        <f t="shared" si="14"/>
        <v>4720.6000000000004</v>
      </c>
      <c r="K94" s="18">
        <f t="shared" si="10"/>
        <v>4720.6000000000004</v>
      </c>
      <c r="L94" s="18">
        <f t="shared" si="11"/>
        <v>0</v>
      </c>
      <c r="M94" s="21">
        <v>682.13</v>
      </c>
      <c r="N94" s="2">
        <f t="shared" si="12"/>
        <v>4597.2699999999995</v>
      </c>
      <c r="O94" s="22">
        <f t="shared" si="13"/>
        <v>6.8212999999999996E-2</v>
      </c>
    </row>
    <row r="95" spans="1:15" s="10" customFormat="1" x14ac:dyDescent="0.25">
      <c r="A95" s="23" t="s">
        <v>189</v>
      </c>
      <c r="B95" s="24"/>
      <c r="C95" s="12">
        <f t="shared" ref="C95:I95" si="16">SUM(C96:C98)</f>
        <v>145500</v>
      </c>
      <c r="D95" s="13">
        <f t="shared" si="16"/>
        <v>-145150</v>
      </c>
      <c r="E95" s="5">
        <f t="shared" si="16"/>
        <v>350</v>
      </c>
      <c r="F95" s="5">
        <f t="shared" si="16"/>
        <v>350</v>
      </c>
      <c r="G95" s="14">
        <f t="shared" si="16"/>
        <v>0</v>
      </c>
      <c r="H95" s="14">
        <f t="shared" si="16"/>
        <v>350</v>
      </c>
      <c r="I95" s="14">
        <f t="shared" si="16"/>
        <v>350</v>
      </c>
      <c r="J95" s="18">
        <f t="shared" si="14"/>
        <v>0</v>
      </c>
      <c r="K95" s="5">
        <f t="shared" si="10"/>
        <v>0</v>
      </c>
      <c r="L95" s="5">
        <f t="shared" si="11"/>
        <v>0</v>
      </c>
      <c r="M95" s="14">
        <f>SUM(M96:M98)</f>
        <v>0</v>
      </c>
      <c r="N95" s="10">
        <f t="shared" si="12"/>
        <v>350</v>
      </c>
      <c r="O95" s="22">
        <f t="shared" si="13"/>
        <v>1</v>
      </c>
    </row>
    <row r="96" spans="1:15" x14ac:dyDescent="0.25">
      <c r="A96" s="17">
        <v>624</v>
      </c>
      <c r="B96" s="18" t="s">
        <v>190</v>
      </c>
      <c r="C96" s="19">
        <v>10000</v>
      </c>
      <c r="D96" s="20">
        <v>-9650</v>
      </c>
      <c r="E96" s="18">
        <v>350</v>
      </c>
      <c r="F96" s="18">
        <v>350</v>
      </c>
      <c r="G96" s="21">
        <v>0</v>
      </c>
      <c r="H96" s="21">
        <v>350</v>
      </c>
      <c r="I96" s="21">
        <v>350</v>
      </c>
      <c r="J96" s="18">
        <f t="shared" si="14"/>
        <v>0</v>
      </c>
      <c r="K96" s="18">
        <f t="shared" si="10"/>
        <v>0</v>
      </c>
      <c r="L96" s="18">
        <f t="shared" si="11"/>
        <v>0</v>
      </c>
      <c r="M96" s="21">
        <v>0</v>
      </c>
      <c r="N96" s="2">
        <f t="shared" si="12"/>
        <v>350</v>
      </c>
      <c r="O96" s="22">
        <f t="shared" si="13"/>
        <v>1</v>
      </c>
    </row>
    <row r="97" spans="1:15" x14ac:dyDescent="0.25">
      <c r="A97" s="17" t="s">
        <v>191</v>
      </c>
      <c r="B97" s="18" t="s">
        <v>192</v>
      </c>
      <c r="C97" s="19">
        <v>5500</v>
      </c>
      <c r="D97" s="20">
        <v>-5500</v>
      </c>
      <c r="E97" s="18">
        <v>0</v>
      </c>
      <c r="F97" s="18">
        <v>0</v>
      </c>
      <c r="G97" s="21">
        <v>0</v>
      </c>
      <c r="H97" s="21">
        <v>0</v>
      </c>
      <c r="I97" s="21">
        <v>0</v>
      </c>
      <c r="J97" s="18">
        <f t="shared" si="14"/>
        <v>0</v>
      </c>
      <c r="K97" s="18">
        <f t="shared" si="10"/>
        <v>0</v>
      </c>
      <c r="L97" s="18">
        <f t="shared" si="11"/>
        <v>0</v>
      </c>
      <c r="M97" s="21">
        <v>0</v>
      </c>
      <c r="N97" s="2">
        <f t="shared" si="12"/>
        <v>0</v>
      </c>
      <c r="O97" s="22">
        <v>0</v>
      </c>
    </row>
    <row r="98" spans="1:15" ht="13.5" thickBot="1" x14ac:dyDescent="0.3">
      <c r="A98" s="29" t="s">
        <v>193</v>
      </c>
      <c r="B98" s="30" t="s">
        <v>194</v>
      </c>
      <c r="C98" s="31">
        <v>130000</v>
      </c>
      <c r="D98" s="32">
        <v>-130000</v>
      </c>
      <c r="E98" s="30">
        <v>0</v>
      </c>
      <c r="F98" s="30">
        <v>0</v>
      </c>
      <c r="G98" s="33">
        <v>0</v>
      </c>
      <c r="H98" s="33">
        <v>0</v>
      </c>
      <c r="I98" s="33">
        <v>0</v>
      </c>
      <c r="J98" s="30">
        <f t="shared" si="14"/>
        <v>0</v>
      </c>
      <c r="K98" s="30">
        <f t="shared" si="10"/>
        <v>0</v>
      </c>
      <c r="L98" s="30" t="s">
        <v>195</v>
      </c>
      <c r="M98" s="33">
        <v>0</v>
      </c>
      <c r="N98" s="34">
        <f t="shared" si="12"/>
        <v>0</v>
      </c>
      <c r="O98" s="35">
        <v>0</v>
      </c>
    </row>
    <row r="101" spans="1:15" x14ac:dyDescent="0.25">
      <c r="G101" s="38"/>
    </row>
    <row r="102" spans="1:15" x14ac:dyDescent="0.25">
      <c r="G102" s="38"/>
    </row>
    <row r="103" spans="1:15" x14ac:dyDescent="0.25">
      <c r="G103" s="38"/>
    </row>
  </sheetData>
  <mergeCells count="9">
    <mergeCell ref="A56:B56"/>
    <mergeCell ref="A88:B88"/>
    <mergeCell ref="A95:B95"/>
    <mergeCell ref="A1:O1"/>
    <mergeCell ref="A2:O2"/>
    <mergeCell ref="A3:O3"/>
    <mergeCell ref="A4:O4"/>
    <mergeCell ref="A5:O5"/>
    <mergeCell ref="A20:B20"/>
  </mergeCells>
  <pageMargins left="0.25" right="0.25" top="0.75" bottom="0.75" header="0.3" footer="0.3"/>
  <pageSetup paperSize="126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cp:lastPrinted>2020-08-14T18:11:57Z</cp:lastPrinted>
  <dcterms:created xsi:type="dcterms:W3CDTF">2020-08-14T16:31:00Z</dcterms:created>
  <dcterms:modified xsi:type="dcterms:W3CDTF">2020-08-14T18:12:47Z</dcterms:modified>
</cp:coreProperties>
</file>