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degantes\Desktop\PRESUPUESTO 2021\"/>
    </mc:Choice>
  </mc:AlternateContent>
  <bookViews>
    <workbookView xWindow="0" yWindow="0" windowWidth="16392" windowHeight="6048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1" i="1" l="1"/>
  <c r="L101" i="1"/>
  <c r="K101" i="1"/>
  <c r="P101" i="1" s="1"/>
  <c r="J101" i="1"/>
  <c r="H101" i="1"/>
  <c r="H95" i="1" s="1"/>
  <c r="G101" i="1"/>
  <c r="F101" i="1"/>
  <c r="Q100" i="1"/>
  <c r="P100" i="1"/>
  <c r="L100" i="1"/>
  <c r="H100" i="1"/>
  <c r="G100" i="1"/>
  <c r="F100" i="1"/>
  <c r="Q99" i="1"/>
  <c r="P99" i="1"/>
  <c r="K99" i="1"/>
  <c r="L99" i="1" s="1"/>
  <c r="N99" i="1" s="1"/>
  <c r="J99" i="1"/>
  <c r="G99" i="1"/>
  <c r="M99" i="1" s="1"/>
  <c r="Q98" i="1"/>
  <c r="P98" i="1"/>
  <c r="L98" i="1"/>
  <c r="H98" i="1"/>
  <c r="F98" i="1"/>
  <c r="G98" i="1" s="1"/>
  <c r="S97" i="1"/>
  <c r="Q97" i="1"/>
  <c r="P97" i="1"/>
  <c r="L97" i="1"/>
  <c r="G97" i="1"/>
  <c r="Q96" i="1"/>
  <c r="P96" i="1"/>
  <c r="P95" i="1" s="1"/>
  <c r="P92" i="1" s="1"/>
  <c r="L96" i="1"/>
  <c r="K96" i="1"/>
  <c r="J96" i="1"/>
  <c r="H96" i="1"/>
  <c r="G96" i="1"/>
  <c r="M96" i="1" s="1"/>
  <c r="F96" i="1"/>
  <c r="O95" i="1"/>
  <c r="O92" i="1" s="1"/>
  <c r="G95" i="1"/>
  <c r="G92" i="1" s="1"/>
  <c r="F95" i="1"/>
  <c r="F92" i="1" s="1"/>
  <c r="S94" i="1"/>
  <c r="R94" i="1"/>
  <c r="Q94" i="1"/>
  <c r="P94" i="1"/>
  <c r="N94" i="1"/>
  <c r="L94" i="1"/>
  <c r="S93" i="1"/>
  <c r="R93" i="1"/>
  <c r="Q93" i="1"/>
  <c r="P93" i="1"/>
  <c r="N93" i="1"/>
  <c r="L93" i="1"/>
  <c r="G93" i="1"/>
  <c r="H92" i="1"/>
  <c r="S91" i="1"/>
  <c r="R91" i="1"/>
  <c r="Q91" i="1"/>
  <c r="P91" i="1"/>
  <c r="M91" i="1"/>
  <c r="N91" i="1" s="1"/>
  <c r="L91" i="1"/>
  <c r="G91" i="1"/>
  <c r="R90" i="1"/>
  <c r="P90" i="1"/>
  <c r="P87" i="1" s="1"/>
  <c r="L90" i="1"/>
  <c r="G90" i="1"/>
  <c r="P89" i="1"/>
  <c r="M89" i="1"/>
  <c r="L89" i="1"/>
  <c r="H89" i="1"/>
  <c r="F89" i="1"/>
  <c r="K88" i="1"/>
  <c r="P88" i="1" s="1"/>
  <c r="H88" i="1"/>
  <c r="F88" i="1"/>
  <c r="O87" i="1"/>
  <c r="J87" i="1"/>
  <c r="I87" i="1"/>
  <c r="F87" i="1"/>
  <c r="E87" i="1"/>
  <c r="D87" i="1"/>
  <c r="C87" i="1"/>
  <c r="P86" i="1"/>
  <c r="N86" i="1"/>
  <c r="M86" i="1"/>
  <c r="L86" i="1"/>
  <c r="P85" i="1"/>
  <c r="N85" i="1"/>
  <c r="M85" i="1"/>
  <c r="L85" i="1"/>
  <c r="S84" i="1"/>
  <c r="R84" i="1"/>
  <c r="Q84" i="1"/>
  <c r="P84" i="1"/>
  <c r="M84" i="1"/>
  <c r="N84" i="1" s="1"/>
  <c r="L84" i="1"/>
  <c r="G84" i="1"/>
  <c r="P83" i="1"/>
  <c r="N83" i="1"/>
  <c r="M83" i="1"/>
  <c r="L83" i="1"/>
  <c r="P82" i="1"/>
  <c r="N82" i="1"/>
  <c r="M82" i="1"/>
  <c r="L82" i="1"/>
  <c r="R81" i="1"/>
  <c r="M81" i="1"/>
  <c r="M80" i="1" s="1"/>
  <c r="K81" i="1"/>
  <c r="G81" i="1"/>
  <c r="O80" i="1"/>
  <c r="K80" i="1"/>
  <c r="J80" i="1"/>
  <c r="I80" i="1"/>
  <c r="H80" i="1"/>
  <c r="G80" i="1"/>
  <c r="F80" i="1"/>
  <c r="E80" i="1"/>
  <c r="D80" i="1"/>
  <c r="C80" i="1"/>
  <c r="Q79" i="1"/>
  <c r="P79" i="1"/>
  <c r="L79" i="1"/>
  <c r="G79" i="1"/>
  <c r="Q78" i="1"/>
  <c r="P78" i="1"/>
  <c r="M78" i="1"/>
  <c r="L78" i="1"/>
  <c r="G78" i="1"/>
  <c r="S78" i="1" s="1"/>
  <c r="P77" i="1"/>
  <c r="K77" i="1"/>
  <c r="S77" i="1" s="1"/>
  <c r="J77" i="1"/>
  <c r="H77" i="1"/>
  <c r="L77" i="1" s="1"/>
  <c r="F77" i="1"/>
  <c r="G77" i="1" s="1"/>
  <c r="R77" i="1" s="1"/>
  <c r="R76" i="1"/>
  <c r="P76" i="1"/>
  <c r="H76" i="1"/>
  <c r="G76" i="1"/>
  <c r="S76" i="1" s="1"/>
  <c r="O75" i="1"/>
  <c r="K75" i="1"/>
  <c r="J75" i="1"/>
  <c r="H75" i="1"/>
  <c r="F75" i="1"/>
  <c r="G75" i="1" s="1"/>
  <c r="R75" i="1" s="1"/>
  <c r="S74" i="1"/>
  <c r="P74" i="1"/>
  <c r="K74" i="1"/>
  <c r="J74" i="1"/>
  <c r="R74" i="1" s="1"/>
  <c r="H74" i="1"/>
  <c r="L74" i="1" s="1"/>
  <c r="F74" i="1"/>
  <c r="G74" i="1" s="1"/>
  <c r="M74" i="1" s="1"/>
  <c r="P73" i="1"/>
  <c r="H73" i="1"/>
  <c r="G73" i="1"/>
  <c r="O72" i="1"/>
  <c r="M72" i="1"/>
  <c r="K72" i="1"/>
  <c r="J72" i="1"/>
  <c r="R72" i="1" s="1"/>
  <c r="H72" i="1"/>
  <c r="G72" i="1"/>
  <c r="S71" i="1"/>
  <c r="P71" i="1"/>
  <c r="H71" i="1"/>
  <c r="Q71" i="1" s="1"/>
  <c r="G71" i="1"/>
  <c r="Q70" i="1"/>
  <c r="P70" i="1"/>
  <c r="M70" i="1"/>
  <c r="L70" i="1"/>
  <c r="G70" i="1"/>
  <c r="R69" i="1"/>
  <c r="K69" i="1"/>
  <c r="J69" i="1"/>
  <c r="G69" i="1"/>
  <c r="M69" i="1" s="1"/>
  <c r="S68" i="1"/>
  <c r="R68" i="1"/>
  <c r="P68" i="1"/>
  <c r="M68" i="1"/>
  <c r="J68" i="1"/>
  <c r="H68" i="1"/>
  <c r="G68" i="1"/>
  <c r="K67" i="1"/>
  <c r="J67" i="1"/>
  <c r="H67" i="1"/>
  <c r="L67" i="1" s="1"/>
  <c r="F67" i="1"/>
  <c r="G67" i="1" s="1"/>
  <c r="R67" i="1" s="1"/>
  <c r="Q66" i="1"/>
  <c r="P66" i="1"/>
  <c r="H66" i="1"/>
  <c r="L66" i="1" s="1"/>
  <c r="F66" i="1"/>
  <c r="G66" i="1" s="1"/>
  <c r="S65" i="1"/>
  <c r="Q65" i="1"/>
  <c r="P65" i="1"/>
  <c r="L65" i="1"/>
  <c r="G65" i="1"/>
  <c r="P64" i="1"/>
  <c r="J64" i="1"/>
  <c r="H64" i="1"/>
  <c r="G64" i="1"/>
  <c r="P63" i="1"/>
  <c r="O63" i="1"/>
  <c r="N63" i="1"/>
  <c r="L63" i="1"/>
  <c r="K63" i="1"/>
  <c r="S63" i="1" s="1"/>
  <c r="J63" i="1"/>
  <c r="R63" i="1" s="1"/>
  <c r="H63" i="1"/>
  <c r="Q63" i="1" s="1"/>
  <c r="G63" i="1"/>
  <c r="M63" i="1" s="1"/>
  <c r="F63" i="1"/>
  <c r="S62" i="1"/>
  <c r="Q62" i="1"/>
  <c r="P62" i="1"/>
  <c r="L62" i="1"/>
  <c r="J62" i="1"/>
  <c r="H62" i="1"/>
  <c r="G62" i="1"/>
  <c r="R62" i="1" s="1"/>
  <c r="Q61" i="1"/>
  <c r="P61" i="1"/>
  <c r="H61" i="1"/>
  <c r="L61" i="1" s="1"/>
  <c r="G61" i="1"/>
  <c r="F61" i="1"/>
  <c r="Q60" i="1"/>
  <c r="P60" i="1"/>
  <c r="L60" i="1"/>
  <c r="J60" i="1"/>
  <c r="H60" i="1"/>
  <c r="G60" i="1"/>
  <c r="S60" i="1" s="1"/>
  <c r="F60" i="1"/>
  <c r="K59" i="1"/>
  <c r="J59" i="1"/>
  <c r="H59" i="1"/>
  <c r="F59" i="1"/>
  <c r="R58" i="1"/>
  <c r="P58" i="1"/>
  <c r="M58" i="1"/>
  <c r="L58" i="1"/>
  <c r="N58" i="1" s="1"/>
  <c r="H58" i="1"/>
  <c r="Q58" i="1" s="1"/>
  <c r="G58" i="1"/>
  <c r="S58" i="1" s="1"/>
  <c r="L57" i="1"/>
  <c r="K57" i="1"/>
  <c r="P57" i="1" s="1"/>
  <c r="J57" i="1"/>
  <c r="H57" i="1"/>
  <c r="Q57" i="1" s="1"/>
  <c r="G57" i="1"/>
  <c r="M57" i="1" s="1"/>
  <c r="R56" i="1"/>
  <c r="P56" i="1"/>
  <c r="L56" i="1"/>
  <c r="K56" i="1"/>
  <c r="J56" i="1"/>
  <c r="H56" i="1"/>
  <c r="G56" i="1"/>
  <c r="M56" i="1" s="1"/>
  <c r="K55" i="1"/>
  <c r="J55" i="1"/>
  <c r="R55" i="1" s="1"/>
  <c r="H55" i="1"/>
  <c r="F55" i="1"/>
  <c r="G55" i="1" s="1"/>
  <c r="M55" i="1" s="1"/>
  <c r="Q53" i="1"/>
  <c r="P53" i="1"/>
  <c r="L53" i="1"/>
  <c r="G53" i="1"/>
  <c r="Q52" i="1"/>
  <c r="P52" i="1"/>
  <c r="L52" i="1"/>
  <c r="G52" i="1"/>
  <c r="Q51" i="1"/>
  <c r="K51" i="1"/>
  <c r="P51" i="1" s="1"/>
  <c r="J51" i="1"/>
  <c r="H51" i="1"/>
  <c r="G51" i="1"/>
  <c r="M51" i="1" s="1"/>
  <c r="O50" i="1"/>
  <c r="I50" i="1"/>
  <c r="E50" i="1"/>
  <c r="D50" i="1"/>
  <c r="C50" i="1"/>
  <c r="Q49" i="1"/>
  <c r="P49" i="1"/>
  <c r="L49" i="1"/>
  <c r="G49" i="1"/>
  <c r="K48" i="1"/>
  <c r="J48" i="1"/>
  <c r="R48" i="1" s="1"/>
  <c r="H48" i="1"/>
  <c r="G48" i="1"/>
  <c r="M48" i="1" s="1"/>
  <c r="S47" i="1"/>
  <c r="R47" i="1"/>
  <c r="Q47" i="1"/>
  <c r="P47" i="1"/>
  <c r="N47" i="1"/>
  <c r="M47" i="1"/>
  <c r="L47" i="1"/>
  <c r="G47" i="1"/>
  <c r="S46" i="1"/>
  <c r="R46" i="1"/>
  <c r="Q46" i="1"/>
  <c r="P46" i="1"/>
  <c r="N46" i="1"/>
  <c r="M46" i="1"/>
  <c r="L46" i="1"/>
  <c r="G46" i="1"/>
  <c r="P45" i="1"/>
  <c r="H45" i="1"/>
  <c r="G45" i="1"/>
  <c r="M45" i="1" s="1"/>
  <c r="Q44" i="1"/>
  <c r="P44" i="1"/>
  <c r="L44" i="1"/>
  <c r="G44" i="1"/>
  <c r="Q43" i="1"/>
  <c r="L43" i="1"/>
  <c r="K43" i="1"/>
  <c r="P43" i="1" s="1"/>
  <c r="J43" i="1"/>
  <c r="R43" i="1" s="1"/>
  <c r="H43" i="1"/>
  <c r="G43" i="1"/>
  <c r="M43" i="1" s="1"/>
  <c r="N43" i="1" s="1"/>
  <c r="F43" i="1"/>
  <c r="Q42" i="1"/>
  <c r="P42" i="1"/>
  <c r="L42" i="1"/>
  <c r="H42" i="1"/>
  <c r="G42" i="1"/>
  <c r="R41" i="1"/>
  <c r="O41" i="1"/>
  <c r="K41" i="1"/>
  <c r="H41" i="1"/>
  <c r="G41" i="1"/>
  <c r="R40" i="1"/>
  <c r="Q40" i="1"/>
  <c r="O40" i="1"/>
  <c r="K40" i="1"/>
  <c r="J40" i="1"/>
  <c r="H40" i="1"/>
  <c r="F40" i="1"/>
  <c r="G40" i="1" s="1"/>
  <c r="M40" i="1" s="1"/>
  <c r="S39" i="1"/>
  <c r="O39" i="1"/>
  <c r="K39" i="1"/>
  <c r="Q39" i="1" s="1"/>
  <c r="J39" i="1"/>
  <c r="R39" i="1" s="1"/>
  <c r="H39" i="1"/>
  <c r="F39" i="1"/>
  <c r="G39" i="1" s="1"/>
  <c r="M39" i="1" s="1"/>
  <c r="S38" i="1"/>
  <c r="Q38" i="1"/>
  <c r="P38" i="1"/>
  <c r="L38" i="1"/>
  <c r="N38" i="1" s="1"/>
  <c r="J38" i="1"/>
  <c r="R38" i="1" s="1"/>
  <c r="H38" i="1"/>
  <c r="G38" i="1"/>
  <c r="M38" i="1" s="1"/>
  <c r="R37" i="1"/>
  <c r="Q37" i="1"/>
  <c r="P37" i="1"/>
  <c r="M37" i="1"/>
  <c r="N37" i="1" s="1"/>
  <c r="L37" i="1"/>
  <c r="H37" i="1"/>
  <c r="G37" i="1"/>
  <c r="S37" i="1" s="1"/>
  <c r="S36" i="1"/>
  <c r="P36" i="1"/>
  <c r="M36" i="1"/>
  <c r="H36" i="1"/>
  <c r="G36" i="1"/>
  <c r="R36" i="1" s="1"/>
  <c r="S35" i="1"/>
  <c r="P35" i="1"/>
  <c r="H35" i="1"/>
  <c r="Q35" i="1" s="1"/>
  <c r="G35" i="1"/>
  <c r="F35" i="1"/>
  <c r="R34" i="1"/>
  <c r="Q34" i="1"/>
  <c r="P34" i="1"/>
  <c r="M34" i="1"/>
  <c r="N34" i="1" s="1"/>
  <c r="L34" i="1"/>
  <c r="H34" i="1"/>
  <c r="G34" i="1"/>
  <c r="S34" i="1" s="1"/>
  <c r="S33" i="1"/>
  <c r="P33" i="1"/>
  <c r="M33" i="1"/>
  <c r="H33" i="1"/>
  <c r="G33" i="1"/>
  <c r="R33" i="1" s="1"/>
  <c r="S32" i="1"/>
  <c r="Q32" i="1"/>
  <c r="P32" i="1"/>
  <c r="H32" i="1"/>
  <c r="L32" i="1" s="1"/>
  <c r="G32" i="1"/>
  <c r="R31" i="1"/>
  <c r="P31" i="1"/>
  <c r="H31" i="1"/>
  <c r="G31" i="1"/>
  <c r="S31" i="1" s="1"/>
  <c r="R30" i="1"/>
  <c r="Q30" i="1"/>
  <c r="K30" i="1"/>
  <c r="P30" i="1" s="1"/>
  <c r="H30" i="1"/>
  <c r="L30" i="1" s="1"/>
  <c r="G30" i="1"/>
  <c r="S30" i="1" s="1"/>
  <c r="P29" i="1"/>
  <c r="O29" i="1"/>
  <c r="K29" i="1"/>
  <c r="S29" i="1" s="1"/>
  <c r="H29" i="1"/>
  <c r="F29" i="1"/>
  <c r="E29" i="1"/>
  <c r="G29" i="1" s="1"/>
  <c r="P28" i="1"/>
  <c r="J28" i="1"/>
  <c r="H28" i="1"/>
  <c r="L28" i="1" s="1"/>
  <c r="G28" i="1"/>
  <c r="S28" i="1" s="1"/>
  <c r="F28" i="1"/>
  <c r="E28" i="1"/>
  <c r="O27" i="1"/>
  <c r="L27" i="1"/>
  <c r="N27" i="1" s="1"/>
  <c r="K27" i="1"/>
  <c r="Q27" i="1" s="1"/>
  <c r="J27" i="1"/>
  <c r="H27" i="1"/>
  <c r="G27" i="1"/>
  <c r="M27" i="1" s="1"/>
  <c r="F27" i="1"/>
  <c r="E27" i="1"/>
  <c r="P26" i="1"/>
  <c r="O26" i="1"/>
  <c r="K26" i="1"/>
  <c r="J26" i="1"/>
  <c r="R26" i="1" s="1"/>
  <c r="H26" i="1"/>
  <c r="L26" i="1" s="1"/>
  <c r="N26" i="1" s="1"/>
  <c r="F26" i="1"/>
  <c r="E26" i="1"/>
  <c r="G26" i="1" s="1"/>
  <c r="M26" i="1" s="1"/>
  <c r="S25" i="1"/>
  <c r="Q25" i="1"/>
  <c r="P25" i="1"/>
  <c r="L25" i="1"/>
  <c r="G25" i="1"/>
  <c r="R25" i="1" s="1"/>
  <c r="S24" i="1"/>
  <c r="P24" i="1"/>
  <c r="M24" i="1"/>
  <c r="H24" i="1"/>
  <c r="G24" i="1"/>
  <c r="R24" i="1" s="1"/>
  <c r="S23" i="1"/>
  <c r="P23" i="1"/>
  <c r="H23" i="1"/>
  <c r="L23" i="1" s="1"/>
  <c r="G23" i="1"/>
  <c r="R22" i="1"/>
  <c r="P22" i="1"/>
  <c r="H22" i="1"/>
  <c r="M22" i="1" s="1"/>
  <c r="G22" i="1"/>
  <c r="S22" i="1" s="1"/>
  <c r="O21" i="1"/>
  <c r="O19" i="1" s="1"/>
  <c r="K21" i="1"/>
  <c r="J21" i="1"/>
  <c r="R21" i="1" s="1"/>
  <c r="H21" i="1"/>
  <c r="F21" i="1"/>
  <c r="G21" i="1" s="1"/>
  <c r="G19" i="1" s="1"/>
  <c r="R20" i="1"/>
  <c r="M20" i="1"/>
  <c r="K20" i="1"/>
  <c r="Q20" i="1" s="1"/>
  <c r="J20" i="1"/>
  <c r="H20" i="1"/>
  <c r="G20" i="1"/>
  <c r="I19" i="1"/>
  <c r="F19" i="1"/>
  <c r="E19" i="1"/>
  <c r="D19" i="1"/>
  <c r="C19" i="1"/>
  <c r="S18" i="1"/>
  <c r="P18" i="1"/>
  <c r="O18" i="1"/>
  <c r="L18" i="1"/>
  <c r="N18" i="1" s="1"/>
  <c r="J18" i="1"/>
  <c r="R18" i="1" s="1"/>
  <c r="H18" i="1"/>
  <c r="Q18" i="1" s="1"/>
  <c r="G18" i="1"/>
  <c r="M18" i="1" s="1"/>
  <c r="R17" i="1"/>
  <c r="Q17" i="1"/>
  <c r="P17" i="1"/>
  <c r="M17" i="1"/>
  <c r="N17" i="1" s="1"/>
  <c r="L17" i="1"/>
  <c r="H17" i="1"/>
  <c r="G17" i="1"/>
  <c r="S17" i="1" s="1"/>
  <c r="S16" i="1"/>
  <c r="O16" i="1"/>
  <c r="P16" i="1" s="1"/>
  <c r="J16" i="1"/>
  <c r="R16" i="1" s="1"/>
  <c r="H16" i="1"/>
  <c r="Q16" i="1" s="1"/>
  <c r="G16" i="1"/>
  <c r="M16" i="1" s="1"/>
  <c r="O15" i="1"/>
  <c r="K15" i="1"/>
  <c r="J15" i="1"/>
  <c r="R15" i="1" s="1"/>
  <c r="H15" i="1"/>
  <c r="F15" i="1"/>
  <c r="G15" i="1" s="1"/>
  <c r="M15" i="1" s="1"/>
  <c r="O14" i="1"/>
  <c r="L14" i="1"/>
  <c r="N14" i="1" s="1"/>
  <c r="K14" i="1"/>
  <c r="Q14" i="1" s="1"/>
  <c r="J14" i="1"/>
  <c r="H14" i="1"/>
  <c r="G14" i="1"/>
  <c r="M14" i="1" s="1"/>
  <c r="F14" i="1"/>
  <c r="O13" i="1"/>
  <c r="K13" i="1"/>
  <c r="S13" i="1" s="1"/>
  <c r="J13" i="1"/>
  <c r="H13" i="1"/>
  <c r="F13" i="1"/>
  <c r="G13" i="1" s="1"/>
  <c r="M13" i="1" s="1"/>
  <c r="P12" i="1"/>
  <c r="O12" i="1"/>
  <c r="L12" i="1"/>
  <c r="K12" i="1"/>
  <c r="S12" i="1" s="1"/>
  <c r="J12" i="1"/>
  <c r="R12" i="1" s="1"/>
  <c r="H12" i="1"/>
  <c r="Q12" i="1" s="1"/>
  <c r="G12" i="1"/>
  <c r="M12" i="1" s="1"/>
  <c r="F12" i="1"/>
  <c r="O11" i="1"/>
  <c r="K11" i="1"/>
  <c r="J11" i="1"/>
  <c r="R11" i="1" s="1"/>
  <c r="H11" i="1"/>
  <c r="F11" i="1"/>
  <c r="G11" i="1" s="1"/>
  <c r="M11" i="1" s="1"/>
  <c r="O10" i="1"/>
  <c r="L10" i="1"/>
  <c r="N10" i="1" s="1"/>
  <c r="K10" i="1"/>
  <c r="Q10" i="1" s="1"/>
  <c r="J10" i="1"/>
  <c r="H10" i="1"/>
  <c r="G10" i="1"/>
  <c r="M10" i="1" s="1"/>
  <c r="O9" i="1"/>
  <c r="O8" i="1" s="1"/>
  <c r="K9" i="1"/>
  <c r="Q9" i="1" s="1"/>
  <c r="J9" i="1"/>
  <c r="J8" i="1" s="1"/>
  <c r="H9" i="1"/>
  <c r="F9" i="1"/>
  <c r="I8" i="1"/>
  <c r="H8" i="1"/>
  <c r="E8" i="1"/>
  <c r="D8" i="1"/>
  <c r="C8" i="1"/>
  <c r="C7" i="1" s="1"/>
  <c r="I7" i="1"/>
  <c r="E7" i="1"/>
  <c r="D7" i="1"/>
  <c r="O7" i="1" l="1"/>
  <c r="N12" i="1"/>
  <c r="H7" i="1"/>
  <c r="R10" i="1"/>
  <c r="P13" i="1"/>
  <c r="R14" i="1"/>
  <c r="Q23" i="1"/>
  <c r="Q26" i="1"/>
  <c r="R27" i="1"/>
  <c r="Q41" i="1"/>
  <c r="S41" i="1"/>
  <c r="R42" i="1"/>
  <c r="M42" i="1"/>
  <c r="N42" i="1" s="1"/>
  <c r="S45" i="1"/>
  <c r="S48" i="1"/>
  <c r="L48" i="1"/>
  <c r="N48" i="1" s="1"/>
  <c r="P48" i="1"/>
  <c r="R53" i="1"/>
  <c r="M53" i="1"/>
  <c r="S53" i="1"/>
  <c r="S55" i="1"/>
  <c r="L55" i="1"/>
  <c r="N55" i="1" s="1"/>
  <c r="P55" i="1"/>
  <c r="K50" i="1"/>
  <c r="M60" i="1"/>
  <c r="N60" i="1" s="1"/>
  <c r="S69" i="1"/>
  <c r="P69" i="1"/>
  <c r="L69" i="1"/>
  <c r="N69" i="1" s="1"/>
  <c r="Q72" i="1"/>
  <c r="P72" i="1"/>
  <c r="S73" i="1"/>
  <c r="M73" i="1"/>
  <c r="S79" i="1"/>
  <c r="R79" i="1"/>
  <c r="M79" i="1"/>
  <c r="N79" i="1" s="1"/>
  <c r="S80" i="1"/>
  <c r="Q80" i="1"/>
  <c r="Q81" i="1"/>
  <c r="L81" i="1"/>
  <c r="P81" i="1"/>
  <c r="P80" i="1" s="1"/>
  <c r="L87" i="1"/>
  <c r="N89" i="1"/>
  <c r="N96" i="1"/>
  <c r="L95" i="1"/>
  <c r="S98" i="1"/>
  <c r="R98" i="1"/>
  <c r="M98" i="1"/>
  <c r="F8" i="1"/>
  <c r="P9" i="1"/>
  <c r="P8" i="1" s="1"/>
  <c r="S10" i="1"/>
  <c r="P11" i="1"/>
  <c r="Q11" i="1"/>
  <c r="L13" i="1"/>
  <c r="N13" i="1" s="1"/>
  <c r="Q13" i="1"/>
  <c r="S14" i="1"/>
  <c r="P15" i="1"/>
  <c r="Q15" i="1"/>
  <c r="J19" i="1"/>
  <c r="R19" i="1" s="1"/>
  <c r="S20" i="1"/>
  <c r="P21" i="1"/>
  <c r="Q21" i="1"/>
  <c r="Q22" i="1"/>
  <c r="S27" i="1"/>
  <c r="Q28" i="1"/>
  <c r="Q29" i="1"/>
  <c r="M31" i="1"/>
  <c r="L31" i="1"/>
  <c r="N31" i="1" s="1"/>
  <c r="L35" i="1"/>
  <c r="N35" i="1" s="1"/>
  <c r="P40" i="1"/>
  <c r="S40" i="1"/>
  <c r="Q45" i="1"/>
  <c r="L45" i="1"/>
  <c r="N45" i="1" s="1"/>
  <c r="Q48" i="1"/>
  <c r="N53" i="1"/>
  <c r="Q55" i="1"/>
  <c r="N57" i="1"/>
  <c r="Q59" i="1"/>
  <c r="P59" i="1"/>
  <c r="R61" i="1"/>
  <c r="M61" i="1"/>
  <c r="S61" i="1"/>
  <c r="S66" i="1"/>
  <c r="R66" i="1"/>
  <c r="M66" i="1"/>
  <c r="N66" i="1" s="1"/>
  <c r="M67" i="1"/>
  <c r="Q69" i="1"/>
  <c r="N74" i="1"/>
  <c r="P75" i="1"/>
  <c r="S75" i="1"/>
  <c r="M76" i="1"/>
  <c r="L76" i="1"/>
  <c r="S101" i="1"/>
  <c r="M101" i="1"/>
  <c r="N101" i="1" s="1"/>
  <c r="K8" i="1"/>
  <c r="G9" i="1"/>
  <c r="L9" i="1"/>
  <c r="R9" i="1"/>
  <c r="K19" i="1"/>
  <c r="L20" i="1"/>
  <c r="H19" i="1"/>
  <c r="M21" i="1"/>
  <c r="M19" i="1" s="1"/>
  <c r="L22" i="1"/>
  <c r="N22" i="1" s="1"/>
  <c r="S26" i="1"/>
  <c r="R28" i="1"/>
  <c r="R29" i="1"/>
  <c r="M29" i="1"/>
  <c r="L29" i="1"/>
  <c r="N29" i="1" s="1"/>
  <c r="P41" i="1"/>
  <c r="S42" i="1"/>
  <c r="R49" i="1"/>
  <c r="M49" i="1"/>
  <c r="S49" i="1"/>
  <c r="J50" i="1"/>
  <c r="N56" i="1"/>
  <c r="R57" i="1"/>
  <c r="G59" i="1"/>
  <c r="F50" i="1"/>
  <c r="N61" i="1"/>
  <c r="M64" i="1"/>
  <c r="S64" i="1"/>
  <c r="N67" i="1"/>
  <c r="Q67" i="1"/>
  <c r="L71" i="1"/>
  <c r="N77" i="1"/>
  <c r="Q77" i="1"/>
  <c r="K87" i="1"/>
  <c r="N98" i="1"/>
  <c r="R99" i="1"/>
  <c r="J95" i="1"/>
  <c r="P10" i="1"/>
  <c r="L11" i="1"/>
  <c r="N11" i="1" s="1"/>
  <c r="S11" i="1"/>
  <c r="R13" i="1"/>
  <c r="P14" i="1"/>
  <c r="L15" i="1"/>
  <c r="N15" i="1" s="1"/>
  <c r="S15" i="1"/>
  <c r="L16" i="1"/>
  <c r="N16" i="1" s="1"/>
  <c r="P20" i="1"/>
  <c r="L21" i="1"/>
  <c r="S21" i="1"/>
  <c r="R23" i="1"/>
  <c r="M23" i="1"/>
  <c r="N23" i="1" s="1"/>
  <c r="Q24" i="1"/>
  <c r="L24" i="1"/>
  <c r="N24" i="1" s="1"/>
  <c r="M25" i="1"/>
  <c r="N25" i="1" s="1"/>
  <c r="P27" i="1"/>
  <c r="M28" i="1"/>
  <c r="N28" i="1" s="1"/>
  <c r="Q31" i="1"/>
  <c r="L41" i="1"/>
  <c r="R45" i="1"/>
  <c r="N49" i="1"/>
  <c r="S57" i="1"/>
  <c r="R60" i="1"/>
  <c r="Q64" i="1"/>
  <c r="L64" i="1"/>
  <c r="N64" i="1" s="1"/>
  <c r="S72" i="1"/>
  <c r="R73" i="1"/>
  <c r="Q75" i="1"/>
  <c r="Q76" i="1"/>
  <c r="S81" i="1"/>
  <c r="M90" i="1"/>
  <c r="M87" i="1" s="1"/>
  <c r="S90" i="1"/>
  <c r="G87" i="1"/>
  <c r="R87" i="1" s="1"/>
  <c r="L92" i="1"/>
  <c r="R100" i="1"/>
  <c r="M100" i="1"/>
  <c r="N100" i="1" s="1"/>
  <c r="S100" i="1"/>
  <c r="R101" i="1"/>
  <c r="P39" i="1"/>
  <c r="L40" i="1"/>
  <c r="N40" i="1" s="1"/>
  <c r="S43" i="1"/>
  <c r="S51" i="1"/>
  <c r="H50" i="1"/>
  <c r="L59" i="1"/>
  <c r="R64" i="1"/>
  <c r="S67" i="1"/>
  <c r="P67" i="1"/>
  <c r="S70" i="1"/>
  <c r="R70" i="1"/>
  <c r="L72" i="1"/>
  <c r="N72" i="1" s="1"/>
  <c r="Q73" i="1"/>
  <c r="L73" i="1"/>
  <c r="N73" i="1" s="1"/>
  <c r="M75" i="1"/>
  <c r="N90" i="1"/>
  <c r="R96" i="1"/>
  <c r="S99" i="1"/>
  <c r="M30" i="1"/>
  <c r="N30" i="1" s="1"/>
  <c r="R32" i="1"/>
  <c r="M32" i="1"/>
  <c r="N32" i="1" s="1"/>
  <c r="Q33" i="1"/>
  <c r="L33" i="1"/>
  <c r="N33" i="1" s="1"/>
  <c r="R35" i="1"/>
  <c r="M35" i="1"/>
  <c r="Q36" i="1"/>
  <c r="L36" i="1"/>
  <c r="N36" i="1" s="1"/>
  <c r="L39" i="1"/>
  <c r="N39" i="1" s="1"/>
  <c r="M41" i="1"/>
  <c r="R44" i="1"/>
  <c r="M44" i="1"/>
  <c r="N44" i="1" s="1"/>
  <c r="S44" i="1"/>
  <c r="L51" i="1"/>
  <c r="R52" i="1"/>
  <c r="M52" i="1"/>
  <c r="N52" i="1" s="1"/>
  <c r="S52" i="1"/>
  <c r="R65" i="1"/>
  <c r="M65" i="1"/>
  <c r="N65" i="1" s="1"/>
  <c r="R71" i="1"/>
  <c r="M71" i="1"/>
  <c r="L75" i="1"/>
  <c r="N75" i="1" s="1"/>
  <c r="M77" i="1"/>
  <c r="N78" i="1"/>
  <c r="R78" i="1"/>
  <c r="M88" i="1"/>
  <c r="H87" i="1"/>
  <c r="L88" i="1"/>
  <c r="K95" i="1"/>
  <c r="S96" i="1"/>
  <c r="R51" i="1"/>
  <c r="S56" i="1"/>
  <c r="Q56" i="1"/>
  <c r="M62" i="1"/>
  <c r="N62" i="1" s="1"/>
  <c r="Q68" i="1"/>
  <c r="L68" i="1"/>
  <c r="N68" i="1" s="1"/>
  <c r="N70" i="1"/>
  <c r="Q74" i="1"/>
  <c r="R80" i="1"/>
  <c r="R97" i="1"/>
  <c r="M97" i="1"/>
  <c r="N97" i="1" s="1"/>
  <c r="L50" i="1" l="1"/>
  <c r="N51" i="1"/>
  <c r="R95" i="1"/>
  <c r="J92" i="1"/>
  <c r="R92" i="1" s="1"/>
  <c r="N95" i="1"/>
  <c r="N92" i="1" s="1"/>
  <c r="K92" i="1"/>
  <c r="Q95" i="1"/>
  <c r="S95" i="1"/>
  <c r="N59" i="1"/>
  <c r="N21" i="1"/>
  <c r="R59" i="1"/>
  <c r="M59" i="1"/>
  <c r="M50" i="1" s="1"/>
  <c r="N9" i="1"/>
  <c r="N8" i="1" s="1"/>
  <c r="L8" i="1"/>
  <c r="L7" i="1" s="1"/>
  <c r="F7" i="1"/>
  <c r="M92" i="1"/>
  <c r="Q50" i="1"/>
  <c r="S50" i="1"/>
  <c r="N88" i="1"/>
  <c r="N71" i="1"/>
  <c r="L19" i="1"/>
  <c r="N20" i="1"/>
  <c r="M9" i="1"/>
  <c r="M8" i="1" s="1"/>
  <c r="G8" i="1"/>
  <c r="N81" i="1"/>
  <c r="N80" i="1" s="1"/>
  <c r="L80" i="1"/>
  <c r="P50" i="1"/>
  <c r="G50" i="1"/>
  <c r="R50" i="1" s="1"/>
  <c r="N41" i="1"/>
  <c r="S9" i="1"/>
  <c r="S87" i="1"/>
  <c r="Q87" i="1"/>
  <c r="P19" i="1"/>
  <c r="P7" i="1" s="1"/>
  <c r="Q19" i="1"/>
  <c r="S19" i="1"/>
  <c r="Q8" i="1"/>
  <c r="N76" i="1"/>
  <c r="S59" i="1"/>
  <c r="N87" i="1"/>
  <c r="N19" i="1" l="1"/>
  <c r="S92" i="1"/>
  <c r="Q92" i="1"/>
  <c r="K7" i="1"/>
  <c r="J7" i="1"/>
  <c r="N7" i="1"/>
  <c r="G7" i="1"/>
  <c r="R8" i="1"/>
  <c r="N50" i="1"/>
  <c r="S8" i="1"/>
  <c r="M7" i="1"/>
  <c r="S7" i="1" l="1"/>
  <c r="Q7" i="1"/>
  <c r="R7" i="1"/>
</calcChain>
</file>

<file path=xl/sharedStrings.xml><?xml version="1.0" encoding="utf-8"?>
<sst xmlns="http://schemas.openxmlformats.org/spreadsheetml/2006/main" count="174" uniqueCount="159">
  <si>
    <t xml:space="preserve">  </t>
  </si>
  <si>
    <t>DIRECCIÓN DE ADMINISTRACIÓN Y FINANZAS - DEPARTAMENTO DE PRESUPUESTO</t>
  </si>
  <si>
    <t>INFORME DE EJECUCIÓN PRESUPUESTARIA (FUNCIONAMIENTO)</t>
  </si>
  <si>
    <t>AL 3I DE JULIO DEL 2021</t>
  </si>
  <si>
    <t>(en balboas)</t>
  </si>
  <si>
    <t>CTA.</t>
  </si>
  <si>
    <t>DESCRIPCIÓN</t>
  </si>
  <si>
    <t xml:space="preserve">(1)     PRESUPUESTO LEY                                                                                                                 
</t>
  </si>
  <si>
    <t>(2)    CONTENSIÓN DEL GASTO</t>
  </si>
  <si>
    <t xml:space="preserve"> (3) PRESUPUESTO LEY                                
</t>
  </si>
  <si>
    <t xml:space="preserve">(4)                    CREDITOS EXTRAORDINARIOS / TRASLADOS   </t>
  </si>
  <si>
    <t xml:space="preserve"> (5) PRESUPUESTO MODIFICADO                                
</t>
  </si>
  <si>
    <t xml:space="preserve">(6)                 ASIGNADO 
</t>
  </si>
  <si>
    <t xml:space="preserve">(8)            COMPROMISO MENSUAL      </t>
  </si>
  <si>
    <t>(9)     COMPROMISOS   /EJECUTADO</t>
  </si>
  <si>
    <t xml:space="preserve">(10)                 SALDO A LA FECHA                  (H6-K9)           </t>
  </si>
  <si>
    <t>(11)                     SALDO POR ASIGNAR          (G5-H6)</t>
  </si>
  <si>
    <t>(12)                                   SALDO ANUAL        (I7-L10-M11)</t>
  </si>
  <si>
    <t xml:space="preserve">(13)                 PAGADO </t>
  </si>
  <si>
    <t>(14)                      POR PAGAR A LA FECHA          (K9-O13)</t>
  </si>
  <si>
    <t>% EJEC. (COMP. EJEC. VS PRES. ASIG.) 
(K9/H6)</t>
  </si>
  <si>
    <t>% EJEC. (COMP. MENS. VS PRES. MOD.) 
(J8/G5)</t>
  </si>
  <si>
    <t>(13)                     % EJEC. (COMP. EJEC.  VS PRES. MOD.) 
(K9/G5)</t>
  </si>
  <si>
    <t xml:space="preserve">FUNCIONAMIENTO </t>
  </si>
  <si>
    <t>SERVICIOS PERSONALES</t>
  </si>
  <si>
    <t>001</t>
  </si>
  <si>
    <t>PERSONAL FIJO (SUELDOS)</t>
  </si>
  <si>
    <t>030</t>
  </si>
  <si>
    <t>GASTOS DE REPRESENTACION FIJOS</t>
  </si>
  <si>
    <t>050</t>
  </si>
  <si>
    <t>XIII MES</t>
  </si>
  <si>
    <t>071</t>
  </si>
  <si>
    <t>CUOTA PATRONAL DE SEGURO SOCIAL</t>
  </si>
  <si>
    <t>072</t>
  </si>
  <si>
    <t>CUOTA PATRONAL DE SEGURO EDUCATIVO</t>
  </si>
  <si>
    <t>073</t>
  </si>
  <si>
    <t>CUOTA PATRONAL DE RIESGO PROFESIONAL</t>
  </si>
  <si>
    <t>074</t>
  </si>
  <si>
    <t>091</t>
  </si>
  <si>
    <t>SUELDOS</t>
  </si>
  <si>
    <t>096</t>
  </si>
  <si>
    <t>III MES</t>
  </si>
  <si>
    <t>099</t>
  </si>
  <si>
    <t>CONTRIBUCIONES A LA SEGURIDAD</t>
  </si>
  <si>
    <t>SERVICIOS NO PERSONALES</t>
  </si>
  <si>
    <t>101</t>
  </si>
  <si>
    <t>DE EDIFICIOS Y LOCALES</t>
  </si>
  <si>
    <t>103</t>
  </si>
  <si>
    <t>DE EQUIPO DE OFICINA</t>
  </si>
  <si>
    <t>OTROS ALQUILERES</t>
  </si>
  <si>
    <t>AGUA</t>
  </si>
  <si>
    <t>112</t>
  </si>
  <si>
    <t>ASEO</t>
  </si>
  <si>
    <t>113</t>
  </si>
  <si>
    <t>CORREO</t>
  </si>
  <si>
    <t>114</t>
  </si>
  <si>
    <t>ENERGIA ELECTRICA</t>
  </si>
  <si>
    <t>115</t>
  </si>
  <si>
    <t>TELECOMUNICACIONES</t>
  </si>
  <si>
    <t>116</t>
  </si>
  <si>
    <t>SERVICIO DE TRANSMISION DE DATOS</t>
  </si>
  <si>
    <t xml:space="preserve">SERVICIOS DE TELEFONIA CELULAR </t>
  </si>
  <si>
    <t>120</t>
  </si>
  <si>
    <t>IMPRESION, ENCUADERNACION Y OTROS</t>
  </si>
  <si>
    <t>ANUNCIOS Y AVISOS</t>
  </si>
  <si>
    <t>132</t>
  </si>
  <si>
    <t>PROMOCION Y PUBLICIDAD</t>
  </si>
  <si>
    <t>VIÁTICOSS DENTRO DEL PAIS</t>
  </si>
  <si>
    <t>142</t>
  </si>
  <si>
    <t>VIATICOS EN EL EXTERIOR</t>
  </si>
  <si>
    <t>151</t>
  </si>
  <si>
    <t>TRANSPORTE DENTRO DEL PAIS</t>
  </si>
  <si>
    <t>TRANSPORTE DE OTRAS PERRSONAS</t>
  </si>
  <si>
    <t>TRANSPRTE DE BIENES</t>
  </si>
  <si>
    <t>164</t>
  </si>
  <si>
    <t>GASTOS DE SEGUROS</t>
  </si>
  <si>
    <t>SERVICIOS COMERCIALES</t>
  </si>
  <si>
    <t>169</t>
  </si>
  <si>
    <t>OTROS SERVICIOS COMERCIALES Y FINANCIEROS</t>
  </si>
  <si>
    <t>172</t>
  </si>
  <si>
    <t>SERVICIOS ESPECIALES</t>
  </si>
  <si>
    <t>181</t>
  </si>
  <si>
    <t>MANTENIMIENTO Y REP. DE EDIFICIOS</t>
  </si>
  <si>
    <t>182</t>
  </si>
  <si>
    <t>MANT. Y REP. DE MAQUINARIAS Y OTROS EQ.</t>
  </si>
  <si>
    <t xml:space="preserve">MANT. Y REP. DE EQUIPO COMPUTACIÓN </t>
  </si>
  <si>
    <t>SERVICIOS BÁSICOS</t>
  </si>
  <si>
    <t xml:space="preserve"> VIÁTICOS</t>
  </si>
  <si>
    <t>TRANSPORTE DE PERSONAS Y B</t>
  </si>
  <si>
    <t>SERVICIOS COMERCIALES Y FINANCIEROS</t>
  </si>
  <si>
    <t>MANTENIMIENTO Y REPARACIÓN</t>
  </si>
  <si>
    <t>MATERIALES Y SUMINISTROS</t>
  </si>
  <si>
    <t>203</t>
  </si>
  <si>
    <t>BEBIDAS</t>
  </si>
  <si>
    <t>ACABADO TEXTIL</t>
  </si>
  <si>
    <t>CALZADO</t>
  </si>
  <si>
    <t xml:space="preserve"> PRENDA DE VESTIR</t>
  </si>
  <si>
    <t>221</t>
  </si>
  <si>
    <t>DIESEL</t>
  </si>
  <si>
    <t>223</t>
  </si>
  <si>
    <t>GASOLINA</t>
  </si>
  <si>
    <t>224</t>
  </si>
  <si>
    <t>LUBRICANTES</t>
  </si>
  <si>
    <t>IMPRESOS</t>
  </si>
  <si>
    <t>232</t>
  </si>
  <si>
    <t>PAPELERIA</t>
  </si>
  <si>
    <t>OTROS PRODUCTOS DE PAPEL Y CARTON</t>
  </si>
  <si>
    <t xml:space="preserve">INSECTICIDAS, FUMIGANTES Y OTROS </t>
  </si>
  <si>
    <t>243</t>
  </si>
  <si>
    <t>PINTURAS, COLORANTES Y TINTES</t>
  </si>
  <si>
    <t>249</t>
  </si>
  <si>
    <t>OTROS PRODUCTOS QUÍMICOS</t>
  </si>
  <si>
    <t>253</t>
  </si>
  <si>
    <t>MADERA</t>
  </si>
  <si>
    <t>254</t>
  </si>
  <si>
    <t>MATERIAL DE FONTANERÍA</t>
  </si>
  <si>
    <t>255</t>
  </si>
  <si>
    <t>MATERIAL ELECTRICO</t>
  </si>
  <si>
    <t>MATERIAL METÁLICO</t>
  </si>
  <si>
    <t>OTROS MATERIALES DE CONSTRUCCIÓN</t>
  </si>
  <si>
    <t>261</t>
  </si>
  <si>
    <t>ARTICULOS O PRODUCTOS</t>
  </si>
  <si>
    <t>HERRAMIENTAS E INSTRUMENTOS</t>
  </si>
  <si>
    <t>265</t>
  </si>
  <si>
    <t>MATERIALES Y SUMINISTROS DE COMPUTACION</t>
  </si>
  <si>
    <t>269</t>
  </si>
  <si>
    <t>OTROS PRODUCTOS VARIOS</t>
  </si>
  <si>
    <t>271</t>
  </si>
  <si>
    <t>UTILES DE COCINA Y COMEDOR</t>
  </si>
  <si>
    <t>273</t>
  </si>
  <si>
    <t>UTILES DE ASEO Y LIMPIEZA</t>
  </si>
  <si>
    <t>275</t>
  </si>
  <si>
    <t>UTILES Y MATERIALES DE OFICINA</t>
  </si>
  <si>
    <t>279</t>
  </si>
  <si>
    <t>OTROS UTILES Y MATERIALES</t>
  </si>
  <si>
    <t>280</t>
  </si>
  <si>
    <t>REPUESTOS</t>
  </si>
  <si>
    <t>TEXTILES Y VESTUARIO</t>
  </si>
  <si>
    <t xml:space="preserve"> PRODUCTOS VARIOS</t>
  </si>
  <si>
    <t>MAQUINARIA Y EQUIPOS VARIOS</t>
  </si>
  <si>
    <t>301</t>
  </si>
  <si>
    <t>EQUIPO DE COMUNICACIONES</t>
  </si>
  <si>
    <t>EQUIPO EDUCACIONAL Y RECREATIVO</t>
  </si>
  <si>
    <t>340</t>
  </si>
  <si>
    <t>EQUIPO DE OFICINA</t>
  </si>
  <si>
    <t>350</t>
  </si>
  <si>
    <t>MOBILIARIO DE OFICINA</t>
  </si>
  <si>
    <t>370</t>
  </si>
  <si>
    <t>EQUIPO DE COMPUTACIÓN</t>
  </si>
  <si>
    <t>TRANSFERENCIAS CORRIENTES</t>
  </si>
  <si>
    <t>INDEMNIZACIONES LABORALES</t>
  </si>
  <si>
    <t>624</t>
  </si>
  <si>
    <t>CAPACITACION Y ESTUDIO</t>
  </si>
  <si>
    <t>629</t>
  </si>
  <si>
    <t>OTRAS BECAS</t>
  </si>
  <si>
    <t>A PERSONAS</t>
  </si>
  <si>
    <t>INVERSIÓN</t>
  </si>
  <si>
    <t>CUOTA PATRONAL PARA EL FONDO COMPLEMENTARIO.</t>
  </si>
  <si>
    <t xml:space="preserve">(7) SALDO DE CONTRATOS POR EJECUTAR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</si>
</sst>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2" fillId="0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3" fontId="2" fillId="0" borderId="5" xfId="0" applyNumberFormat="1" applyFont="1" applyFill="1" applyBorder="1" applyAlignment="1">
      <alignment wrapText="1"/>
    </xf>
    <xf numFmtId="3" fontId="2" fillId="2" borderId="5" xfId="0" applyNumberFormat="1" applyFont="1" applyFill="1" applyBorder="1" applyAlignment="1">
      <alignment wrapText="1"/>
    </xf>
    <xf numFmtId="3" fontId="2" fillId="3" borderId="5" xfId="0" applyNumberFormat="1" applyFont="1" applyFill="1" applyBorder="1" applyAlignment="1">
      <alignment wrapText="1"/>
    </xf>
    <xf numFmtId="9" fontId="2" fillId="0" borderId="5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/>
    <xf numFmtId="0" fontId="2" fillId="0" borderId="7" xfId="0" applyFont="1" applyFill="1" applyBorder="1" applyAlignment="1">
      <alignment horizontal="left" wrapText="1"/>
    </xf>
    <xf numFmtId="3" fontId="2" fillId="0" borderId="7" xfId="0" applyNumberFormat="1" applyFont="1" applyFill="1" applyBorder="1" applyAlignment="1"/>
    <xf numFmtId="3" fontId="2" fillId="0" borderId="6" xfId="0" applyNumberFormat="1" applyFont="1" applyFill="1" applyBorder="1" applyAlignment="1"/>
    <xf numFmtId="3" fontId="2" fillId="2" borderId="7" xfId="0" applyNumberFormat="1" applyFont="1" applyFill="1" applyBorder="1" applyAlignment="1"/>
    <xf numFmtId="3" fontId="2" fillId="3" borderId="7" xfId="0" applyNumberFormat="1" applyFont="1" applyFill="1" applyBorder="1" applyAlignment="1"/>
    <xf numFmtId="9" fontId="2" fillId="0" borderId="7" xfId="0" applyNumberFormat="1" applyFont="1" applyFill="1" applyBorder="1" applyAlignment="1">
      <alignment horizontal="right" wrapText="1"/>
    </xf>
    <xf numFmtId="0" fontId="6" fillId="0" borderId="8" xfId="0" applyFont="1" applyFill="1" applyBorder="1" applyAlignment="1" applyProtection="1">
      <alignment horizontal="left"/>
      <protection locked="0"/>
    </xf>
    <xf numFmtId="0" fontId="6" fillId="0" borderId="9" xfId="0" applyFont="1" applyFill="1" applyBorder="1" applyAlignment="1" applyProtection="1">
      <protection locked="0"/>
    </xf>
    <xf numFmtId="3" fontId="3" fillId="0" borderId="9" xfId="0" applyNumberFormat="1" applyFont="1" applyFill="1" applyBorder="1"/>
    <xf numFmtId="3" fontId="6" fillId="0" borderId="9" xfId="0" applyNumberFormat="1" applyFont="1" applyFill="1" applyBorder="1" applyAlignment="1" applyProtection="1">
      <protection locked="0"/>
    </xf>
    <xf numFmtId="3" fontId="3" fillId="0" borderId="8" xfId="0" applyNumberFormat="1" applyFont="1" applyFill="1" applyBorder="1"/>
    <xf numFmtId="3" fontId="6" fillId="2" borderId="9" xfId="0" applyNumberFormat="1" applyFont="1" applyFill="1" applyBorder="1" applyAlignment="1" applyProtection="1">
      <protection locked="0"/>
    </xf>
    <xf numFmtId="3" fontId="6" fillId="3" borderId="9" xfId="0" applyNumberFormat="1" applyFont="1" applyFill="1" applyBorder="1" applyAlignment="1" applyProtection="1">
      <protection locked="0"/>
    </xf>
    <xf numFmtId="3" fontId="7" fillId="0" borderId="9" xfId="0" applyNumberFormat="1" applyFont="1" applyFill="1" applyBorder="1"/>
    <xf numFmtId="3" fontId="7" fillId="0" borderId="9" xfId="0" applyNumberFormat="1" applyFont="1" applyFill="1" applyBorder="1" applyAlignment="1">
      <alignment wrapText="1"/>
    </xf>
    <xf numFmtId="3" fontId="7" fillId="0" borderId="8" xfId="0" applyNumberFormat="1" applyFont="1" applyFill="1" applyBorder="1" applyAlignment="1">
      <alignment wrapText="1"/>
    </xf>
    <xf numFmtId="9" fontId="7" fillId="0" borderId="9" xfId="0" applyNumberFormat="1" applyFont="1" applyFill="1" applyBorder="1" applyAlignment="1">
      <alignment horizontal="right" vertical="center" wrapText="1"/>
    </xf>
    <xf numFmtId="3" fontId="3" fillId="0" borderId="9" xfId="0" applyNumberFormat="1" applyFont="1" applyFill="1" applyBorder="1" applyAlignment="1" applyProtection="1">
      <protection locked="0"/>
    </xf>
    <xf numFmtId="0" fontId="6" fillId="0" borderId="8" xfId="0" quotePrefix="1" applyFont="1" applyFill="1" applyBorder="1" applyAlignment="1" applyProtection="1">
      <alignment horizontal="left"/>
      <protection locked="0"/>
    </xf>
    <xf numFmtId="3" fontId="3" fillId="3" borderId="9" xfId="0" applyNumberFormat="1" applyFont="1" applyFill="1" applyBorder="1"/>
    <xf numFmtId="0" fontId="6" fillId="0" borderId="6" xfId="0" quotePrefix="1" applyFont="1" applyFill="1" applyBorder="1" applyAlignment="1" applyProtection="1">
      <alignment horizontal="left"/>
      <protection locked="0"/>
    </xf>
    <xf numFmtId="0" fontId="6" fillId="0" borderId="9" xfId="0" applyFont="1" applyFill="1" applyBorder="1" applyAlignment="1" applyProtection="1">
      <alignment horizontal="left" wrapText="1"/>
      <protection locked="0"/>
    </xf>
    <xf numFmtId="0" fontId="2" fillId="0" borderId="5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 wrapText="1"/>
    </xf>
    <xf numFmtId="3" fontId="2" fillId="0" borderId="4" xfId="0" applyNumberFormat="1" applyFont="1" applyFill="1" applyBorder="1" applyAlignment="1">
      <alignment vertical="center"/>
    </xf>
    <xf numFmtId="3" fontId="2" fillId="0" borderId="5" xfId="0" applyNumberFormat="1" applyFont="1" applyFill="1" applyBorder="1" applyAlignment="1">
      <alignment vertical="center"/>
    </xf>
    <xf numFmtId="3" fontId="2" fillId="2" borderId="4" xfId="0" applyNumberFormat="1" applyFont="1" applyFill="1" applyBorder="1" applyAlignment="1">
      <alignment vertical="center"/>
    </xf>
    <xf numFmtId="3" fontId="2" fillId="3" borderId="4" xfId="0" applyNumberFormat="1" applyFont="1" applyFill="1" applyBorder="1" applyAlignment="1">
      <alignment vertical="center"/>
    </xf>
    <xf numFmtId="3" fontId="7" fillId="0" borderId="5" xfId="0" applyNumberFormat="1" applyFont="1" applyFill="1" applyBorder="1" applyAlignment="1">
      <alignment wrapText="1"/>
    </xf>
    <xf numFmtId="9" fontId="2" fillId="0" borderId="4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6" fillId="0" borderId="1" xfId="0" applyFont="1" applyFill="1" applyBorder="1" applyAlignment="1" applyProtection="1">
      <alignment horizontal="left"/>
      <protection locked="0"/>
    </xf>
    <xf numFmtId="3" fontId="8" fillId="0" borderId="10" xfId="0" applyNumberFormat="1" applyFont="1" applyFill="1" applyBorder="1"/>
    <xf numFmtId="3" fontId="7" fillId="0" borderId="9" xfId="0" applyNumberFormat="1" applyFont="1" applyFill="1" applyBorder="1" applyAlignment="1" applyProtection="1">
      <protection locked="0"/>
    </xf>
    <xf numFmtId="3" fontId="3" fillId="3" borderId="9" xfId="0" applyNumberFormat="1" applyFont="1" applyFill="1" applyBorder="1" applyAlignment="1" applyProtection="1">
      <protection locked="0"/>
    </xf>
    <xf numFmtId="9" fontId="7" fillId="0" borderId="5" xfId="0" applyNumberFormat="1" applyFont="1" applyFill="1" applyBorder="1" applyAlignment="1">
      <alignment horizontal="right" vertical="center" wrapText="1"/>
    </xf>
    <xf numFmtId="0" fontId="2" fillId="0" borderId="5" xfId="0" applyFont="1" applyFill="1" applyBorder="1" applyAlignment="1" applyProtection="1">
      <alignment horizontal="right" vertical="center"/>
      <protection locked="0"/>
    </xf>
    <xf numFmtId="3" fontId="2" fillId="0" borderId="4" xfId="0" applyNumberFormat="1" applyFont="1" applyFill="1" applyBorder="1" applyAlignment="1">
      <alignment vertical="center" wrapText="1"/>
    </xf>
    <xf numFmtId="3" fontId="2" fillId="0" borderId="5" xfId="0" applyNumberFormat="1" applyFont="1" applyFill="1" applyBorder="1" applyAlignment="1">
      <alignment vertical="center" wrapText="1"/>
    </xf>
    <xf numFmtId="3" fontId="2" fillId="2" borderId="4" xfId="0" applyNumberFormat="1" applyFont="1" applyFill="1" applyBorder="1" applyAlignment="1">
      <alignment vertical="center" wrapText="1"/>
    </xf>
    <xf numFmtId="3" fontId="2" fillId="3" borderId="4" xfId="0" applyNumberFormat="1" applyFont="1" applyFill="1" applyBorder="1" applyAlignment="1">
      <alignment vertical="center" wrapText="1"/>
    </xf>
    <xf numFmtId="9" fontId="2" fillId="0" borderId="11" xfId="0" applyNumberFormat="1" applyFont="1" applyFill="1" applyBorder="1" applyAlignment="1">
      <alignment horizontal="right" vertical="center" wrapText="1"/>
    </xf>
    <xf numFmtId="9" fontId="7" fillId="0" borderId="12" xfId="0" applyNumberFormat="1" applyFont="1" applyFill="1" applyBorder="1" applyAlignment="1">
      <alignment horizontal="right" vertical="center" wrapText="1"/>
    </xf>
    <xf numFmtId="0" fontId="6" fillId="0" borderId="9" xfId="0" applyFont="1" applyFill="1" applyBorder="1" applyProtection="1">
      <protection locked="0"/>
    </xf>
    <xf numFmtId="0" fontId="4" fillId="0" borderId="5" xfId="0" applyFont="1" applyFill="1" applyBorder="1" applyAlignment="1" applyProtection="1">
      <alignment horizontal="right"/>
      <protection locked="0"/>
    </xf>
    <xf numFmtId="0" fontId="4" fillId="0" borderId="4" xfId="0" applyFont="1" applyFill="1" applyBorder="1" applyAlignment="1" applyProtection="1">
      <protection locked="0"/>
    </xf>
    <xf numFmtId="3" fontId="4" fillId="0" borderId="4" xfId="0" applyNumberFormat="1" applyFont="1" applyFill="1" applyBorder="1" applyAlignment="1" applyProtection="1">
      <protection locked="0"/>
    </xf>
    <xf numFmtId="3" fontId="4" fillId="0" borderId="5" xfId="0" applyNumberFormat="1" applyFont="1" applyFill="1" applyBorder="1" applyAlignment="1" applyProtection="1">
      <protection locked="0"/>
    </xf>
    <xf numFmtId="3" fontId="4" fillId="2" borderId="4" xfId="0" applyNumberFormat="1" applyFont="1" applyFill="1" applyBorder="1" applyAlignment="1" applyProtection="1">
      <protection locked="0"/>
    </xf>
    <xf numFmtId="3" fontId="4" fillId="3" borderId="4" xfId="0" applyNumberFormat="1" applyFont="1" applyFill="1" applyBorder="1" applyAlignment="1" applyProtection="1">
      <protection locked="0"/>
    </xf>
    <xf numFmtId="3" fontId="2" fillId="0" borderId="4" xfId="0" applyNumberFormat="1" applyFont="1" applyFill="1" applyBorder="1" applyAlignment="1" applyProtection="1">
      <protection locked="0"/>
    </xf>
    <xf numFmtId="3" fontId="4" fillId="0" borderId="9" xfId="0" applyNumberFormat="1" applyFont="1" applyFill="1" applyBorder="1" applyAlignment="1" applyProtection="1">
      <protection locked="0"/>
    </xf>
    <xf numFmtId="3" fontId="4" fillId="2" borderId="9" xfId="0" applyNumberFormat="1" applyFont="1" applyFill="1" applyBorder="1" applyAlignment="1" applyProtection="1">
      <protection locked="0"/>
    </xf>
    <xf numFmtId="3" fontId="4" fillId="3" borderId="9" xfId="0" applyNumberFormat="1" applyFont="1" applyFill="1" applyBorder="1" applyAlignment="1" applyProtection="1">
      <protection locked="0"/>
    </xf>
    <xf numFmtId="3" fontId="2" fillId="0" borderId="9" xfId="0" applyNumberFormat="1" applyFont="1" applyFill="1" applyBorder="1" applyAlignment="1" applyProtection="1">
      <protection locked="0"/>
    </xf>
    <xf numFmtId="3" fontId="2" fillId="0" borderId="8" xfId="0" applyNumberFormat="1" applyFont="1" applyFill="1" applyBorder="1" applyAlignment="1">
      <alignment wrapText="1"/>
    </xf>
    <xf numFmtId="0" fontId="5" fillId="0" borderId="5" xfId="0" applyFont="1" applyFill="1" applyBorder="1"/>
    <xf numFmtId="164" fontId="5" fillId="0" borderId="4" xfId="1" applyFont="1" applyFill="1" applyBorder="1"/>
    <xf numFmtId="3" fontId="5" fillId="0" borderId="4" xfId="1" applyNumberFormat="1" applyFont="1" applyFill="1" applyBorder="1"/>
    <xf numFmtId="3" fontId="5" fillId="0" borderId="5" xfId="0" applyNumberFormat="1" applyFont="1" applyFill="1" applyBorder="1"/>
    <xf numFmtId="3" fontId="5" fillId="2" borderId="5" xfId="0" applyNumberFormat="1" applyFont="1" applyFill="1" applyBorder="1"/>
    <xf numFmtId="3" fontId="5" fillId="0" borderId="4" xfId="0" applyNumberFormat="1" applyFont="1" applyFill="1" applyBorder="1"/>
    <xf numFmtId="3" fontId="5" fillId="3" borderId="5" xfId="0" applyNumberFormat="1" applyFont="1" applyFill="1" applyBorder="1"/>
    <xf numFmtId="3" fontId="5" fillId="0" borderId="11" xfId="0" applyNumberFormat="1" applyFont="1" applyFill="1" applyBorder="1"/>
    <xf numFmtId="3" fontId="2" fillId="0" borderId="4" xfId="0" applyNumberFormat="1" applyFont="1" applyFill="1" applyBorder="1" applyAlignment="1">
      <alignment wrapText="1"/>
    </xf>
    <xf numFmtId="9" fontId="2" fillId="0" borderId="2" xfId="0" applyNumberFormat="1" applyFont="1" applyFill="1" applyBorder="1" applyAlignment="1">
      <alignment horizontal="right" vertical="center" wrapText="1"/>
    </xf>
    <xf numFmtId="3" fontId="6" fillId="0" borderId="1" xfId="0" applyNumberFormat="1" applyFont="1" applyFill="1" applyBorder="1" applyAlignment="1" applyProtection="1">
      <protection locked="0"/>
    </xf>
    <xf numFmtId="3" fontId="3" fillId="0" borderId="1" xfId="0" applyNumberFormat="1" applyFont="1" applyFill="1" applyBorder="1"/>
    <xf numFmtId="3" fontId="6" fillId="2" borderId="1" xfId="0" applyNumberFormat="1" applyFont="1" applyFill="1" applyBorder="1" applyAlignment="1" applyProtection="1">
      <protection locked="0"/>
    </xf>
    <xf numFmtId="3" fontId="6" fillId="3" borderId="2" xfId="0" applyNumberFormat="1" applyFont="1" applyFill="1" applyBorder="1" applyAlignment="1" applyProtection="1">
      <protection locked="0"/>
    </xf>
    <xf numFmtId="3" fontId="7" fillId="0" borderId="13" xfId="0" applyNumberFormat="1" applyFont="1" applyFill="1" applyBorder="1" applyAlignment="1" applyProtection="1">
      <protection locked="0"/>
    </xf>
    <xf numFmtId="3" fontId="7" fillId="0" borderId="1" xfId="0" applyNumberFormat="1" applyFont="1" applyFill="1" applyBorder="1" applyAlignment="1">
      <alignment wrapText="1"/>
    </xf>
    <xf numFmtId="3" fontId="6" fillId="0" borderId="14" xfId="0" applyNumberFormat="1" applyFont="1" applyFill="1" applyBorder="1" applyAlignment="1" applyProtection="1">
      <protection locked="0"/>
    </xf>
    <xf numFmtId="9" fontId="7" fillId="0" borderId="1" xfId="0" applyNumberFormat="1" applyFont="1" applyFill="1" applyBorder="1" applyAlignment="1">
      <alignment horizontal="right" vertical="center" wrapText="1"/>
    </xf>
    <xf numFmtId="3" fontId="4" fillId="2" borderId="5" xfId="0" applyNumberFormat="1" applyFont="1" applyFill="1" applyBorder="1" applyAlignment="1" applyProtection="1">
      <protection locked="0"/>
    </xf>
    <xf numFmtId="3" fontId="4" fillId="0" borderId="11" xfId="0" applyNumberFormat="1" applyFont="1" applyFill="1" applyBorder="1" applyAlignment="1" applyProtection="1">
      <protection locked="0"/>
    </xf>
    <xf numFmtId="3" fontId="4" fillId="3" borderId="12" xfId="0" applyNumberFormat="1" applyFont="1" applyFill="1" applyBorder="1" applyAlignment="1" applyProtection="1">
      <protection locked="0"/>
    </xf>
    <xf numFmtId="0" fontId="6" fillId="0" borderId="2" xfId="0" applyFont="1" applyFill="1" applyBorder="1" applyProtection="1">
      <protection locked="0"/>
    </xf>
    <xf numFmtId="3" fontId="6" fillId="0" borderId="8" xfId="0" applyNumberFormat="1" applyFont="1" applyFill="1" applyBorder="1" applyAlignment="1" applyProtection="1">
      <protection locked="0"/>
    </xf>
    <xf numFmtId="3" fontId="6" fillId="2" borderId="8" xfId="0" applyNumberFormat="1" applyFont="1" applyFill="1" applyBorder="1" applyAlignment="1" applyProtection="1">
      <protection locked="0"/>
    </xf>
    <xf numFmtId="3" fontId="6" fillId="0" borderId="15" xfId="0" applyNumberFormat="1" applyFont="1" applyFill="1" applyBorder="1" applyAlignment="1" applyProtection="1">
      <protection locked="0"/>
    </xf>
    <xf numFmtId="9" fontId="7" fillId="0" borderId="8" xfId="0" applyNumberFormat="1" applyFont="1" applyFill="1" applyBorder="1" applyAlignment="1">
      <alignment horizontal="right" vertical="center" wrapText="1"/>
    </xf>
    <xf numFmtId="0" fontId="6" fillId="0" borderId="6" xfId="0" applyFont="1" applyFill="1" applyBorder="1" applyAlignment="1" applyProtection="1">
      <alignment horizontal="left"/>
      <protection locked="0"/>
    </xf>
    <xf numFmtId="0" fontId="6" fillId="0" borderId="7" xfId="0" applyFont="1" applyFill="1" applyBorder="1" applyProtection="1">
      <protection locked="0"/>
    </xf>
    <xf numFmtId="3" fontId="6" fillId="0" borderId="6" xfId="0" applyNumberFormat="1" applyFont="1" applyFill="1" applyBorder="1" applyAlignment="1" applyProtection="1">
      <protection locked="0"/>
    </xf>
    <xf numFmtId="3" fontId="3" fillId="0" borderId="6" xfId="0" applyNumberFormat="1" applyFont="1" applyFill="1" applyBorder="1"/>
    <xf numFmtId="3" fontId="6" fillId="2" borderId="6" xfId="0" applyNumberFormat="1" applyFont="1" applyFill="1" applyBorder="1" applyAlignment="1" applyProtection="1">
      <protection locked="0"/>
    </xf>
    <xf numFmtId="3" fontId="6" fillId="3" borderId="7" xfId="0" applyNumberFormat="1" applyFont="1" applyFill="1" applyBorder="1" applyAlignment="1" applyProtection="1">
      <protection locked="0"/>
    </xf>
    <xf numFmtId="3" fontId="6" fillId="0" borderId="7" xfId="0" applyNumberFormat="1" applyFont="1" applyFill="1" applyBorder="1" applyAlignment="1" applyProtection="1">
      <protection locked="0"/>
    </xf>
    <xf numFmtId="3" fontId="7" fillId="0" borderId="6" xfId="0" applyNumberFormat="1" applyFont="1" applyFill="1" applyBorder="1" applyAlignment="1">
      <alignment wrapText="1"/>
    </xf>
    <xf numFmtId="3" fontId="6" fillId="0" borderId="16" xfId="0" applyNumberFormat="1" applyFont="1" applyFill="1" applyBorder="1" applyAlignment="1" applyProtection="1">
      <protection locked="0"/>
    </xf>
    <xf numFmtId="9" fontId="7" fillId="0" borderId="6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Border="1"/>
    <xf numFmtId="3" fontId="3" fillId="2" borderId="0" xfId="0" applyNumberFormat="1" applyFont="1" applyFill="1" applyBorder="1"/>
    <xf numFmtId="3" fontId="3" fillId="3" borderId="0" xfId="0" applyNumberFormat="1" applyFont="1" applyFill="1" applyBorder="1"/>
    <xf numFmtId="3" fontId="7" fillId="0" borderId="0" xfId="0" applyNumberFormat="1" applyFont="1" applyFill="1" applyBorder="1"/>
    <xf numFmtId="9" fontId="3" fillId="0" borderId="0" xfId="0" applyNumberFormat="1" applyFont="1" applyFill="1" applyBorder="1"/>
    <xf numFmtId="3" fontId="9" fillId="0" borderId="2" xfId="0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9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wrapText="1"/>
    </xf>
    <xf numFmtId="0" fontId="11" fillId="0" borderId="0" xfId="0" applyFont="1" applyFill="1" applyBorder="1"/>
    <xf numFmtId="0" fontId="12" fillId="0" borderId="9" xfId="0" applyFont="1" applyFill="1" applyBorder="1" applyAlignment="1" applyProtection="1">
      <protection locked="0"/>
    </xf>
    <xf numFmtId="0" fontId="13" fillId="0" borderId="9" xfId="0" applyFont="1" applyFill="1" applyBorder="1" applyAlignment="1" applyProtection="1">
      <protection locked="0"/>
    </xf>
  </cellXfs>
  <cellStyles count="2">
    <cellStyle name="Millares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609600</xdr:colOff>
      <xdr:row>0</xdr:row>
      <xdr:rowOff>30480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15760" y="0"/>
          <a:ext cx="13335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40</xdr:row>
      <xdr:rowOff>0</xdr:rowOff>
    </xdr:from>
    <xdr:to>
      <xdr:col>16</xdr:col>
      <xdr:colOff>609600</xdr:colOff>
      <xdr:row>40</xdr:row>
      <xdr:rowOff>30480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15760" y="11971020"/>
          <a:ext cx="13335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37</xdr:row>
      <xdr:rowOff>0</xdr:rowOff>
    </xdr:from>
    <xdr:to>
      <xdr:col>16</xdr:col>
      <xdr:colOff>609600</xdr:colOff>
      <xdr:row>37</xdr:row>
      <xdr:rowOff>30480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15760" y="11148060"/>
          <a:ext cx="13335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39</xdr:row>
      <xdr:rowOff>0</xdr:rowOff>
    </xdr:from>
    <xdr:to>
      <xdr:col>16</xdr:col>
      <xdr:colOff>609600</xdr:colOff>
      <xdr:row>39</xdr:row>
      <xdr:rowOff>30480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15760" y="11696700"/>
          <a:ext cx="13335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63</xdr:row>
      <xdr:rowOff>0</xdr:rowOff>
    </xdr:from>
    <xdr:to>
      <xdr:col>16</xdr:col>
      <xdr:colOff>609600</xdr:colOff>
      <xdr:row>63</xdr:row>
      <xdr:rowOff>30480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15760" y="18547080"/>
          <a:ext cx="133350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102"/>
  <sheetViews>
    <sheetView tabSelected="1" view="pageBreakPreview" topLeftCell="C22" zoomScale="60" zoomScaleNormal="100" workbookViewId="0">
      <selection activeCell="A16" sqref="A16"/>
    </sheetView>
  </sheetViews>
  <sheetFormatPr baseColWidth="10" defaultColWidth="11.44140625" defaultRowHeight="13.2" x14ac:dyDescent="0.25"/>
  <cols>
    <col min="1" max="1" width="6.5546875" style="2" customWidth="1"/>
    <col min="2" max="2" width="40" style="2" customWidth="1"/>
    <col min="3" max="3" width="14" style="104" customWidth="1"/>
    <col min="4" max="4" width="15.109375" style="2" customWidth="1"/>
    <col min="5" max="5" width="11.88671875" style="104" customWidth="1"/>
    <col min="6" max="6" width="15.5546875" style="104" customWidth="1"/>
    <col min="7" max="7" width="14.77734375" style="104" customWidth="1"/>
    <col min="8" max="8" width="11.88671875" style="105" customWidth="1"/>
    <col min="9" max="9" width="15.21875" style="104" customWidth="1"/>
    <col min="10" max="10" width="13.88671875" style="106" customWidth="1"/>
    <col min="11" max="11" width="14.33203125" style="107" customWidth="1"/>
    <col min="12" max="12" width="12.44140625" style="104" customWidth="1"/>
    <col min="13" max="13" width="12.77734375" style="104" customWidth="1"/>
    <col min="14" max="14" width="14.33203125" style="104" customWidth="1"/>
    <col min="15" max="15" width="11.44140625" style="104" customWidth="1"/>
    <col min="16" max="16" width="12.44140625" style="2" customWidth="1"/>
    <col min="17" max="17" width="12.88671875" style="108" customWidth="1"/>
    <col min="18" max="19" width="12.21875" style="2" customWidth="1"/>
    <col min="20" max="26" width="11.44140625" style="2" customWidth="1"/>
    <col min="27" max="256" width="11.44140625" style="2"/>
    <col min="257" max="257" width="6.5546875" style="2" customWidth="1"/>
    <col min="258" max="258" width="55.33203125" style="2" customWidth="1"/>
    <col min="259" max="259" width="19.5546875" style="2" customWidth="1"/>
    <col min="260" max="260" width="15.77734375" style="2" customWidth="1"/>
    <col min="261" max="261" width="18.21875" style="2" customWidth="1"/>
    <col min="262" max="262" width="17.33203125" style="2" customWidth="1"/>
    <col min="263" max="263" width="20" style="2" customWidth="1"/>
    <col min="264" max="264" width="15.77734375" style="2" customWidth="1"/>
    <col min="265" max="265" width="19.6640625" style="2" customWidth="1"/>
    <col min="266" max="266" width="17.33203125" style="2" customWidth="1"/>
    <col min="267" max="267" width="18.77734375" style="2" customWidth="1"/>
    <col min="268" max="268" width="14.109375" style="2" customWidth="1"/>
    <col min="269" max="270" width="16" style="2" customWidth="1"/>
    <col min="271" max="271" width="12.6640625" style="2" customWidth="1"/>
    <col min="272" max="272" width="13.44140625" style="2" customWidth="1"/>
    <col min="273" max="273" width="13.88671875" style="2" customWidth="1"/>
    <col min="274" max="274" width="14" style="2" customWidth="1"/>
    <col min="275" max="275" width="14.88671875" style="2" customWidth="1"/>
    <col min="276" max="282" width="11.44140625" style="2" customWidth="1"/>
    <col min="283" max="512" width="11.44140625" style="2"/>
    <col min="513" max="513" width="6.5546875" style="2" customWidth="1"/>
    <col min="514" max="514" width="55.33203125" style="2" customWidth="1"/>
    <col min="515" max="515" width="19.5546875" style="2" customWidth="1"/>
    <col min="516" max="516" width="15.77734375" style="2" customWidth="1"/>
    <col min="517" max="517" width="18.21875" style="2" customWidth="1"/>
    <col min="518" max="518" width="17.33203125" style="2" customWidth="1"/>
    <col min="519" max="519" width="20" style="2" customWidth="1"/>
    <col min="520" max="520" width="15.77734375" style="2" customWidth="1"/>
    <col min="521" max="521" width="19.6640625" style="2" customWidth="1"/>
    <col min="522" max="522" width="17.33203125" style="2" customWidth="1"/>
    <col min="523" max="523" width="18.77734375" style="2" customWidth="1"/>
    <col min="524" max="524" width="14.109375" style="2" customWidth="1"/>
    <col min="525" max="526" width="16" style="2" customWidth="1"/>
    <col min="527" max="527" width="12.6640625" style="2" customWidth="1"/>
    <col min="528" max="528" width="13.44140625" style="2" customWidth="1"/>
    <col min="529" max="529" width="13.88671875" style="2" customWidth="1"/>
    <col min="530" max="530" width="14" style="2" customWidth="1"/>
    <col min="531" max="531" width="14.88671875" style="2" customWidth="1"/>
    <col min="532" max="538" width="11.44140625" style="2" customWidth="1"/>
    <col min="539" max="768" width="11.44140625" style="2"/>
    <col min="769" max="769" width="6.5546875" style="2" customWidth="1"/>
    <col min="770" max="770" width="55.33203125" style="2" customWidth="1"/>
    <col min="771" max="771" width="19.5546875" style="2" customWidth="1"/>
    <col min="772" max="772" width="15.77734375" style="2" customWidth="1"/>
    <col min="773" max="773" width="18.21875" style="2" customWidth="1"/>
    <col min="774" max="774" width="17.33203125" style="2" customWidth="1"/>
    <col min="775" max="775" width="20" style="2" customWidth="1"/>
    <col min="776" max="776" width="15.77734375" style="2" customWidth="1"/>
    <col min="777" max="777" width="19.6640625" style="2" customWidth="1"/>
    <col min="778" max="778" width="17.33203125" style="2" customWidth="1"/>
    <col min="779" max="779" width="18.77734375" style="2" customWidth="1"/>
    <col min="780" max="780" width="14.109375" style="2" customWidth="1"/>
    <col min="781" max="782" width="16" style="2" customWidth="1"/>
    <col min="783" max="783" width="12.6640625" style="2" customWidth="1"/>
    <col min="784" max="784" width="13.44140625" style="2" customWidth="1"/>
    <col min="785" max="785" width="13.88671875" style="2" customWidth="1"/>
    <col min="786" max="786" width="14" style="2" customWidth="1"/>
    <col min="787" max="787" width="14.88671875" style="2" customWidth="1"/>
    <col min="788" max="794" width="11.44140625" style="2" customWidth="1"/>
    <col min="795" max="1024" width="11.44140625" style="2"/>
    <col min="1025" max="1025" width="6.5546875" style="2" customWidth="1"/>
    <col min="1026" max="1026" width="55.33203125" style="2" customWidth="1"/>
    <col min="1027" max="1027" width="19.5546875" style="2" customWidth="1"/>
    <col min="1028" max="1028" width="15.77734375" style="2" customWidth="1"/>
    <col min="1029" max="1029" width="18.21875" style="2" customWidth="1"/>
    <col min="1030" max="1030" width="17.33203125" style="2" customWidth="1"/>
    <col min="1031" max="1031" width="20" style="2" customWidth="1"/>
    <col min="1032" max="1032" width="15.77734375" style="2" customWidth="1"/>
    <col min="1033" max="1033" width="19.6640625" style="2" customWidth="1"/>
    <col min="1034" max="1034" width="17.33203125" style="2" customWidth="1"/>
    <col min="1035" max="1035" width="18.77734375" style="2" customWidth="1"/>
    <col min="1036" max="1036" width="14.109375" style="2" customWidth="1"/>
    <col min="1037" max="1038" width="16" style="2" customWidth="1"/>
    <col min="1039" max="1039" width="12.6640625" style="2" customWidth="1"/>
    <col min="1040" max="1040" width="13.44140625" style="2" customWidth="1"/>
    <col min="1041" max="1041" width="13.88671875" style="2" customWidth="1"/>
    <col min="1042" max="1042" width="14" style="2" customWidth="1"/>
    <col min="1043" max="1043" width="14.88671875" style="2" customWidth="1"/>
    <col min="1044" max="1050" width="11.44140625" style="2" customWidth="1"/>
    <col min="1051" max="1280" width="11.44140625" style="2"/>
    <col min="1281" max="1281" width="6.5546875" style="2" customWidth="1"/>
    <col min="1282" max="1282" width="55.33203125" style="2" customWidth="1"/>
    <col min="1283" max="1283" width="19.5546875" style="2" customWidth="1"/>
    <col min="1284" max="1284" width="15.77734375" style="2" customWidth="1"/>
    <col min="1285" max="1285" width="18.21875" style="2" customWidth="1"/>
    <col min="1286" max="1286" width="17.33203125" style="2" customWidth="1"/>
    <col min="1287" max="1287" width="20" style="2" customWidth="1"/>
    <col min="1288" max="1288" width="15.77734375" style="2" customWidth="1"/>
    <col min="1289" max="1289" width="19.6640625" style="2" customWidth="1"/>
    <col min="1290" max="1290" width="17.33203125" style="2" customWidth="1"/>
    <col min="1291" max="1291" width="18.77734375" style="2" customWidth="1"/>
    <col min="1292" max="1292" width="14.109375" style="2" customWidth="1"/>
    <col min="1293" max="1294" width="16" style="2" customWidth="1"/>
    <col min="1295" max="1295" width="12.6640625" style="2" customWidth="1"/>
    <col min="1296" max="1296" width="13.44140625" style="2" customWidth="1"/>
    <col min="1297" max="1297" width="13.88671875" style="2" customWidth="1"/>
    <col min="1298" max="1298" width="14" style="2" customWidth="1"/>
    <col min="1299" max="1299" width="14.88671875" style="2" customWidth="1"/>
    <col min="1300" max="1306" width="11.44140625" style="2" customWidth="1"/>
    <col min="1307" max="1536" width="11.44140625" style="2"/>
    <col min="1537" max="1537" width="6.5546875" style="2" customWidth="1"/>
    <col min="1538" max="1538" width="55.33203125" style="2" customWidth="1"/>
    <col min="1539" max="1539" width="19.5546875" style="2" customWidth="1"/>
    <col min="1540" max="1540" width="15.77734375" style="2" customWidth="1"/>
    <col min="1541" max="1541" width="18.21875" style="2" customWidth="1"/>
    <col min="1542" max="1542" width="17.33203125" style="2" customWidth="1"/>
    <col min="1543" max="1543" width="20" style="2" customWidth="1"/>
    <col min="1544" max="1544" width="15.77734375" style="2" customWidth="1"/>
    <col min="1545" max="1545" width="19.6640625" style="2" customWidth="1"/>
    <col min="1546" max="1546" width="17.33203125" style="2" customWidth="1"/>
    <col min="1547" max="1547" width="18.77734375" style="2" customWidth="1"/>
    <col min="1548" max="1548" width="14.109375" style="2" customWidth="1"/>
    <col min="1549" max="1550" width="16" style="2" customWidth="1"/>
    <col min="1551" max="1551" width="12.6640625" style="2" customWidth="1"/>
    <col min="1552" max="1552" width="13.44140625" style="2" customWidth="1"/>
    <col min="1553" max="1553" width="13.88671875" style="2" customWidth="1"/>
    <col min="1554" max="1554" width="14" style="2" customWidth="1"/>
    <col min="1555" max="1555" width="14.88671875" style="2" customWidth="1"/>
    <col min="1556" max="1562" width="11.44140625" style="2" customWidth="1"/>
    <col min="1563" max="1792" width="11.44140625" style="2"/>
    <col min="1793" max="1793" width="6.5546875" style="2" customWidth="1"/>
    <col min="1794" max="1794" width="55.33203125" style="2" customWidth="1"/>
    <col min="1795" max="1795" width="19.5546875" style="2" customWidth="1"/>
    <col min="1796" max="1796" width="15.77734375" style="2" customWidth="1"/>
    <col min="1797" max="1797" width="18.21875" style="2" customWidth="1"/>
    <col min="1798" max="1798" width="17.33203125" style="2" customWidth="1"/>
    <col min="1799" max="1799" width="20" style="2" customWidth="1"/>
    <col min="1800" max="1800" width="15.77734375" style="2" customWidth="1"/>
    <col min="1801" max="1801" width="19.6640625" style="2" customWidth="1"/>
    <col min="1802" max="1802" width="17.33203125" style="2" customWidth="1"/>
    <col min="1803" max="1803" width="18.77734375" style="2" customWidth="1"/>
    <col min="1804" max="1804" width="14.109375" style="2" customWidth="1"/>
    <col min="1805" max="1806" width="16" style="2" customWidth="1"/>
    <col min="1807" max="1807" width="12.6640625" style="2" customWidth="1"/>
    <col min="1808" max="1808" width="13.44140625" style="2" customWidth="1"/>
    <col min="1809" max="1809" width="13.88671875" style="2" customWidth="1"/>
    <col min="1810" max="1810" width="14" style="2" customWidth="1"/>
    <col min="1811" max="1811" width="14.88671875" style="2" customWidth="1"/>
    <col min="1812" max="1818" width="11.44140625" style="2" customWidth="1"/>
    <col min="1819" max="2048" width="11.44140625" style="2"/>
    <col min="2049" max="2049" width="6.5546875" style="2" customWidth="1"/>
    <col min="2050" max="2050" width="55.33203125" style="2" customWidth="1"/>
    <col min="2051" max="2051" width="19.5546875" style="2" customWidth="1"/>
    <col min="2052" max="2052" width="15.77734375" style="2" customWidth="1"/>
    <col min="2053" max="2053" width="18.21875" style="2" customWidth="1"/>
    <col min="2054" max="2054" width="17.33203125" style="2" customWidth="1"/>
    <col min="2055" max="2055" width="20" style="2" customWidth="1"/>
    <col min="2056" max="2056" width="15.77734375" style="2" customWidth="1"/>
    <col min="2057" max="2057" width="19.6640625" style="2" customWidth="1"/>
    <col min="2058" max="2058" width="17.33203125" style="2" customWidth="1"/>
    <col min="2059" max="2059" width="18.77734375" style="2" customWidth="1"/>
    <col min="2060" max="2060" width="14.109375" style="2" customWidth="1"/>
    <col min="2061" max="2062" width="16" style="2" customWidth="1"/>
    <col min="2063" max="2063" width="12.6640625" style="2" customWidth="1"/>
    <col min="2064" max="2064" width="13.44140625" style="2" customWidth="1"/>
    <col min="2065" max="2065" width="13.88671875" style="2" customWidth="1"/>
    <col min="2066" max="2066" width="14" style="2" customWidth="1"/>
    <col min="2067" max="2067" width="14.88671875" style="2" customWidth="1"/>
    <col min="2068" max="2074" width="11.44140625" style="2" customWidth="1"/>
    <col min="2075" max="2304" width="11.44140625" style="2"/>
    <col min="2305" max="2305" width="6.5546875" style="2" customWidth="1"/>
    <col min="2306" max="2306" width="55.33203125" style="2" customWidth="1"/>
    <col min="2307" max="2307" width="19.5546875" style="2" customWidth="1"/>
    <col min="2308" max="2308" width="15.77734375" style="2" customWidth="1"/>
    <col min="2309" max="2309" width="18.21875" style="2" customWidth="1"/>
    <col min="2310" max="2310" width="17.33203125" style="2" customWidth="1"/>
    <col min="2311" max="2311" width="20" style="2" customWidth="1"/>
    <col min="2312" max="2312" width="15.77734375" style="2" customWidth="1"/>
    <col min="2313" max="2313" width="19.6640625" style="2" customWidth="1"/>
    <col min="2314" max="2314" width="17.33203125" style="2" customWidth="1"/>
    <col min="2315" max="2315" width="18.77734375" style="2" customWidth="1"/>
    <col min="2316" max="2316" width="14.109375" style="2" customWidth="1"/>
    <col min="2317" max="2318" width="16" style="2" customWidth="1"/>
    <col min="2319" max="2319" width="12.6640625" style="2" customWidth="1"/>
    <col min="2320" max="2320" width="13.44140625" style="2" customWidth="1"/>
    <col min="2321" max="2321" width="13.88671875" style="2" customWidth="1"/>
    <col min="2322" max="2322" width="14" style="2" customWidth="1"/>
    <col min="2323" max="2323" width="14.88671875" style="2" customWidth="1"/>
    <col min="2324" max="2330" width="11.44140625" style="2" customWidth="1"/>
    <col min="2331" max="2560" width="11.44140625" style="2"/>
    <col min="2561" max="2561" width="6.5546875" style="2" customWidth="1"/>
    <col min="2562" max="2562" width="55.33203125" style="2" customWidth="1"/>
    <col min="2563" max="2563" width="19.5546875" style="2" customWidth="1"/>
    <col min="2564" max="2564" width="15.77734375" style="2" customWidth="1"/>
    <col min="2565" max="2565" width="18.21875" style="2" customWidth="1"/>
    <col min="2566" max="2566" width="17.33203125" style="2" customWidth="1"/>
    <col min="2567" max="2567" width="20" style="2" customWidth="1"/>
    <col min="2568" max="2568" width="15.77734375" style="2" customWidth="1"/>
    <col min="2569" max="2569" width="19.6640625" style="2" customWidth="1"/>
    <col min="2570" max="2570" width="17.33203125" style="2" customWidth="1"/>
    <col min="2571" max="2571" width="18.77734375" style="2" customWidth="1"/>
    <col min="2572" max="2572" width="14.109375" style="2" customWidth="1"/>
    <col min="2573" max="2574" width="16" style="2" customWidth="1"/>
    <col min="2575" max="2575" width="12.6640625" style="2" customWidth="1"/>
    <col min="2576" max="2576" width="13.44140625" style="2" customWidth="1"/>
    <col min="2577" max="2577" width="13.88671875" style="2" customWidth="1"/>
    <col min="2578" max="2578" width="14" style="2" customWidth="1"/>
    <col min="2579" max="2579" width="14.88671875" style="2" customWidth="1"/>
    <col min="2580" max="2586" width="11.44140625" style="2" customWidth="1"/>
    <col min="2587" max="2816" width="11.44140625" style="2"/>
    <col min="2817" max="2817" width="6.5546875" style="2" customWidth="1"/>
    <col min="2818" max="2818" width="55.33203125" style="2" customWidth="1"/>
    <col min="2819" max="2819" width="19.5546875" style="2" customWidth="1"/>
    <col min="2820" max="2820" width="15.77734375" style="2" customWidth="1"/>
    <col min="2821" max="2821" width="18.21875" style="2" customWidth="1"/>
    <col min="2822" max="2822" width="17.33203125" style="2" customWidth="1"/>
    <col min="2823" max="2823" width="20" style="2" customWidth="1"/>
    <col min="2824" max="2824" width="15.77734375" style="2" customWidth="1"/>
    <col min="2825" max="2825" width="19.6640625" style="2" customWidth="1"/>
    <col min="2826" max="2826" width="17.33203125" style="2" customWidth="1"/>
    <col min="2827" max="2827" width="18.77734375" style="2" customWidth="1"/>
    <col min="2828" max="2828" width="14.109375" style="2" customWidth="1"/>
    <col min="2829" max="2830" width="16" style="2" customWidth="1"/>
    <col min="2831" max="2831" width="12.6640625" style="2" customWidth="1"/>
    <col min="2832" max="2832" width="13.44140625" style="2" customWidth="1"/>
    <col min="2833" max="2833" width="13.88671875" style="2" customWidth="1"/>
    <col min="2834" max="2834" width="14" style="2" customWidth="1"/>
    <col min="2835" max="2835" width="14.88671875" style="2" customWidth="1"/>
    <col min="2836" max="2842" width="11.44140625" style="2" customWidth="1"/>
    <col min="2843" max="3072" width="11.44140625" style="2"/>
    <col min="3073" max="3073" width="6.5546875" style="2" customWidth="1"/>
    <col min="3074" max="3074" width="55.33203125" style="2" customWidth="1"/>
    <col min="3075" max="3075" width="19.5546875" style="2" customWidth="1"/>
    <col min="3076" max="3076" width="15.77734375" style="2" customWidth="1"/>
    <col min="3077" max="3077" width="18.21875" style="2" customWidth="1"/>
    <col min="3078" max="3078" width="17.33203125" style="2" customWidth="1"/>
    <col min="3079" max="3079" width="20" style="2" customWidth="1"/>
    <col min="3080" max="3080" width="15.77734375" style="2" customWidth="1"/>
    <col min="3081" max="3081" width="19.6640625" style="2" customWidth="1"/>
    <col min="3082" max="3082" width="17.33203125" style="2" customWidth="1"/>
    <col min="3083" max="3083" width="18.77734375" style="2" customWidth="1"/>
    <col min="3084" max="3084" width="14.109375" style="2" customWidth="1"/>
    <col min="3085" max="3086" width="16" style="2" customWidth="1"/>
    <col min="3087" max="3087" width="12.6640625" style="2" customWidth="1"/>
    <col min="3088" max="3088" width="13.44140625" style="2" customWidth="1"/>
    <col min="3089" max="3089" width="13.88671875" style="2" customWidth="1"/>
    <col min="3090" max="3090" width="14" style="2" customWidth="1"/>
    <col min="3091" max="3091" width="14.88671875" style="2" customWidth="1"/>
    <col min="3092" max="3098" width="11.44140625" style="2" customWidth="1"/>
    <col min="3099" max="3328" width="11.44140625" style="2"/>
    <col min="3329" max="3329" width="6.5546875" style="2" customWidth="1"/>
    <col min="3330" max="3330" width="55.33203125" style="2" customWidth="1"/>
    <col min="3331" max="3331" width="19.5546875" style="2" customWidth="1"/>
    <col min="3332" max="3332" width="15.77734375" style="2" customWidth="1"/>
    <col min="3333" max="3333" width="18.21875" style="2" customWidth="1"/>
    <col min="3334" max="3334" width="17.33203125" style="2" customWidth="1"/>
    <col min="3335" max="3335" width="20" style="2" customWidth="1"/>
    <col min="3336" max="3336" width="15.77734375" style="2" customWidth="1"/>
    <col min="3337" max="3337" width="19.6640625" style="2" customWidth="1"/>
    <col min="3338" max="3338" width="17.33203125" style="2" customWidth="1"/>
    <col min="3339" max="3339" width="18.77734375" style="2" customWidth="1"/>
    <col min="3340" max="3340" width="14.109375" style="2" customWidth="1"/>
    <col min="3341" max="3342" width="16" style="2" customWidth="1"/>
    <col min="3343" max="3343" width="12.6640625" style="2" customWidth="1"/>
    <col min="3344" max="3344" width="13.44140625" style="2" customWidth="1"/>
    <col min="3345" max="3345" width="13.88671875" style="2" customWidth="1"/>
    <col min="3346" max="3346" width="14" style="2" customWidth="1"/>
    <col min="3347" max="3347" width="14.88671875" style="2" customWidth="1"/>
    <col min="3348" max="3354" width="11.44140625" style="2" customWidth="1"/>
    <col min="3355" max="3584" width="11.44140625" style="2"/>
    <col min="3585" max="3585" width="6.5546875" style="2" customWidth="1"/>
    <col min="3586" max="3586" width="55.33203125" style="2" customWidth="1"/>
    <col min="3587" max="3587" width="19.5546875" style="2" customWidth="1"/>
    <col min="3588" max="3588" width="15.77734375" style="2" customWidth="1"/>
    <col min="3589" max="3589" width="18.21875" style="2" customWidth="1"/>
    <col min="3590" max="3590" width="17.33203125" style="2" customWidth="1"/>
    <col min="3591" max="3591" width="20" style="2" customWidth="1"/>
    <col min="3592" max="3592" width="15.77734375" style="2" customWidth="1"/>
    <col min="3593" max="3593" width="19.6640625" style="2" customWidth="1"/>
    <col min="3594" max="3594" width="17.33203125" style="2" customWidth="1"/>
    <col min="3595" max="3595" width="18.77734375" style="2" customWidth="1"/>
    <col min="3596" max="3596" width="14.109375" style="2" customWidth="1"/>
    <col min="3597" max="3598" width="16" style="2" customWidth="1"/>
    <col min="3599" max="3599" width="12.6640625" style="2" customWidth="1"/>
    <col min="3600" max="3600" width="13.44140625" style="2" customWidth="1"/>
    <col min="3601" max="3601" width="13.88671875" style="2" customWidth="1"/>
    <col min="3602" max="3602" width="14" style="2" customWidth="1"/>
    <col min="3603" max="3603" width="14.88671875" style="2" customWidth="1"/>
    <col min="3604" max="3610" width="11.44140625" style="2" customWidth="1"/>
    <col min="3611" max="3840" width="11.44140625" style="2"/>
    <col min="3841" max="3841" width="6.5546875" style="2" customWidth="1"/>
    <col min="3842" max="3842" width="55.33203125" style="2" customWidth="1"/>
    <col min="3843" max="3843" width="19.5546875" style="2" customWidth="1"/>
    <col min="3844" max="3844" width="15.77734375" style="2" customWidth="1"/>
    <col min="3845" max="3845" width="18.21875" style="2" customWidth="1"/>
    <col min="3846" max="3846" width="17.33203125" style="2" customWidth="1"/>
    <col min="3847" max="3847" width="20" style="2" customWidth="1"/>
    <col min="3848" max="3848" width="15.77734375" style="2" customWidth="1"/>
    <col min="3849" max="3849" width="19.6640625" style="2" customWidth="1"/>
    <col min="3850" max="3850" width="17.33203125" style="2" customWidth="1"/>
    <col min="3851" max="3851" width="18.77734375" style="2" customWidth="1"/>
    <col min="3852" max="3852" width="14.109375" style="2" customWidth="1"/>
    <col min="3853" max="3854" width="16" style="2" customWidth="1"/>
    <col min="3855" max="3855" width="12.6640625" style="2" customWidth="1"/>
    <col min="3856" max="3856" width="13.44140625" style="2" customWidth="1"/>
    <col min="3857" max="3857" width="13.88671875" style="2" customWidth="1"/>
    <col min="3858" max="3858" width="14" style="2" customWidth="1"/>
    <col min="3859" max="3859" width="14.88671875" style="2" customWidth="1"/>
    <col min="3860" max="3866" width="11.44140625" style="2" customWidth="1"/>
    <col min="3867" max="4096" width="11.44140625" style="2"/>
    <col min="4097" max="4097" width="6.5546875" style="2" customWidth="1"/>
    <col min="4098" max="4098" width="55.33203125" style="2" customWidth="1"/>
    <col min="4099" max="4099" width="19.5546875" style="2" customWidth="1"/>
    <col min="4100" max="4100" width="15.77734375" style="2" customWidth="1"/>
    <col min="4101" max="4101" width="18.21875" style="2" customWidth="1"/>
    <col min="4102" max="4102" width="17.33203125" style="2" customWidth="1"/>
    <col min="4103" max="4103" width="20" style="2" customWidth="1"/>
    <col min="4104" max="4104" width="15.77734375" style="2" customWidth="1"/>
    <col min="4105" max="4105" width="19.6640625" style="2" customWidth="1"/>
    <col min="4106" max="4106" width="17.33203125" style="2" customWidth="1"/>
    <col min="4107" max="4107" width="18.77734375" style="2" customWidth="1"/>
    <col min="4108" max="4108" width="14.109375" style="2" customWidth="1"/>
    <col min="4109" max="4110" width="16" style="2" customWidth="1"/>
    <col min="4111" max="4111" width="12.6640625" style="2" customWidth="1"/>
    <col min="4112" max="4112" width="13.44140625" style="2" customWidth="1"/>
    <col min="4113" max="4113" width="13.88671875" style="2" customWidth="1"/>
    <col min="4114" max="4114" width="14" style="2" customWidth="1"/>
    <col min="4115" max="4115" width="14.88671875" style="2" customWidth="1"/>
    <col min="4116" max="4122" width="11.44140625" style="2" customWidth="1"/>
    <col min="4123" max="4352" width="11.44140625" style="2"/>
    <col min="4353" max="4353" width="6.5546875" style="2" customWidth="1"/>
    <col min="4354" max="4354" width="55.33203125" style="2" customWidth="1"/>
    <col min="4355" max="4355" width="19.5546875" style="2" customWidth="1"/>
    <col min="4356" max="4356" width="15.77734375" style="2" customWidth="1"/>
    <col min="4357" max="4357" width="18.21875" style="2" customWidth="1"/>
    <col min="4358" max="4358" width="17.33203125" style="2" customWidth="1"/>
    <col min="4359" max="4359" width="20" style="2" customWidth="1"/>
    <col min="4360" max="4360" width="15.77734375" style="2" customWidth="1"/>
    <col min="4361" max="4361" width="19.6640625" style="2" customWidth="1"/>
    <col min="4362" max="4362" width="17.33203125" style="2" customWidth="1"/>
    <col min="4363" max="4363" width="18.77734375" style="2" customWidth="1"/>
    <col min="4364" max="4364" width="14.109375" style="2" customWidth="1"/>
    <col min="4365" max="4366" width="16" style="2" customWidth="1"/>
    <col min="4367" max="4367" width="12.6640625" style="2" customWidth="1"/>
    <col min="4368" max="4368" width="13.44140625" style="2" customWidth="1"/>
    <col min="4369" max="4369" width="13.88671875" style="2" customWidth="1"/>
    <col min="4370" max="4370" width="14" style="2" customWidth="1"/>
    <col min="4371" max="4371" width="14.88671875" style="2" customWidth="1"/>
    <col min="4372" max="4378" width="11.44140625" style="2" customWidth="1"/>
    <col min="4379" max="4608" width="11.44140625" style="2"/>
    <col min="4609" max="4609" width="6.5546875" style="2" customWidth="1"/>
    <col min="4610" max="4610" width="55.33203125" style="2" customWidth="1"/>
    <col min="4611" max="4611" width="19.5546875" style="2" customWidth="1"/>
    <col min="4612" max="4612" width="15.77734375" style="2" customWidth="1"/>
    <col min="4613" max="4613" width="18.21875" style="2" customWidth="1"/>
    <col min="4614" max="4614" width="17.33203125" style="2" customWidth="1"/>
    <col min="4615" max="4615" width="20" style="2" customWidth="1"/>
    <col min="4616" max="4616" width="15.77734375" style="2" customWidth="1"/>
    <col min="4617" max="4617" width="19.6640625" style="2" customWidth="1"/>
    <col min="4618" max="4618" width="17.33203125" style="2" customWidth="1"/>
    <col min="4619" max="4619" width="18.77734375" style="2" customWidth="1"/>
    <col min="4620" max="4620" width="14.109375" style="2" customWidth="1"/>
    <col min="4621" max="4622" width="16" style="2" customWidth="1"/>
    <col min="4623" max="4623" width="12.6640625" style="2" customWidth="1"/>
    <col min="4624" max="4624" width="13.44140625" style="2" customWidth="1"/>
    <col min="4625" max="4625" width="13.88671875" style="2" customWidth="1"/>
    <col min="4626" max="4626" width="14" style="2" customWidth="1"/>
    <col min="4627" max="4627" width="14.88671875" style="2" customWidth="1"/>
    <col min="4628" max="4634" width="11.44140625" style="2" customWidth="1"/>
    <col min="4635" max="4864" width="11.44140625" style="2"/>
    <col min="4865" max="4865" width="6.5546875" style="2" customWidth="1"/>
    <col min="4866" max="4866" width="55.33203125" style="2" customWidth="1"/>
    <col min="4867" max="4867" width="19.5546875" style="2" customWidth="1"/>
    <col min="4868" max="4868" width="15.77734375" style="2" customWidth="1"/>
    <col min="4869" max="4869" width="18.21875" style="2" customWidth="1"/>
    <col min="4870" max="4870" width="17.33203125" style="2" customWidth="1"/>
    <col min="4871" max="4871" width="20" style="2" customWidth="1"/>
    <col min="4872" max="4872" width="15.77734375" style="2" customWidth="1"/>
    <col min="4873" max="4873" width="19.6640625" style="2" customWidth="1"/>
    <col min="4874" max="4874" width="17.33203125" style="2" customWidth="1"/>
    <col min="4875" max="4875" width="18.77734375" style="2" customWidth="1"/>
    <col min="4876" max="4876" width="14.109375" style="2" customWidth="1"/>
    <col min="4877" max="4878" width="16" style="2" customWidth="1"/>
    <col min="4879" max="4879" width="12.6640625" style="2" customWidth="1"/>
    <col min="4880" max="4880" width="13.44140625" style="2" customWidth="1"/>
    <col min="4881" max="4881" width="13.88671875" style="2" customWidth="1"/>
    <col min="4882" max="4882" width="14" style="2" customWidth="1"/>
    <col min="4883" max="4883" width="14.88671875" style="2" customWidth="1"/>
    <col min="4884" max="4890" width="11.44140625" style="2" customWidth="1"/>
    <col min="4891" max="5120" width="11.44140625" style="2"/>
    <col min="5121" max="5121" width="6.5546875" style="2" customWidth="1"/>
    <col min="5122" max="5122" width="55.33203125" style="2" customWidth="1"/>
    <col min="5123" max="5123" width="19.5546875" style="2" customWidth="1"/>
    <col min="5124" max="5124" width="15.77734375" style="2" customWidth="1"/>
    <col min="5125" max="5125" width="18.21875" style="2" customWidth="1"/>
    <col min="5126" max="5126" width="17.33203125" style="2" customWidth="1"/>
    <col min="5127" max="5127" width="20" style="2" customWidth="1"/>
    <col min="5128" max="5128" width="15.77734375" style="2" customWidth="1"/>
    <col min="5129" max="5129" width="19.6640625" style="2" customWidth="1"/>
    <col min="5130" max="5130" width="17.33203125" style="2" customWidth="1"/>
    <col min="5131" max="5131" width="18.77734375" style="2" customWidth="1"/>
    <col min="5132" max="5132" width="14.109375" style="2" customWidth="1"/>
    <col min="5133" max="5134" width="16" style="2" customWidth="1"/>
    <col min="5135" max="5135" width="12.6640625" style="2" customWidth="1"/>
    <col min="5136" max="5136" width="13.44140625" style="2" customWidth="1"/>
    <col min="5137" max="5137" width="13.88671875" style="2" customWidth="1"/>
    <col min="5138" max="5138" width="14" style="2" customWidth="1"/>
    <col min="5139" max="5139" width="14.88671875" style="2" customWidth="1"/>
    <col min="5140" max="5146" width="11.44140625" style="2" customWidth="1"/>
    <col min="5147" max="5376" width="11.44140625" style="2"/>
    <col min="5377" max="5377" width="6.5546875" style="2" customWidth="1"/>
    <col min="5378" max="5378" width="55.33203125" style="2" customWidth="1"/>
    <col min="5379" max="5379" width="19.5546875" style="2" customWidth="1"/>
    <col min="5380" max="5380" width="15.77734375" style="2" customWidth="1"/>
    <col min="5381" max="5381" width="18.21875" style="2" customWidth="1"/>
    <col min="5382" max="5382" width="17.33203125" style="2" customWidth="1"/>
    <col min="5383" max="5383" width="20" style="2" customWidth="1"/>
    <col min="5384" max="5384" width="15.77734375" style="2" customWidth="1"/>
    <col min="5385" max="5385" width="19.6640625" style="2" customWidth="1"/>
    <col min="5386" max="5386" width="17.33203125" style="2" customWidth="1"/>
    <col min="5387" max="5387" width="18.77734375" style="2" customWidth="1"/>
    <col min="5388" max="5388" width="14.109375" style="2" customWidth="1"/>
    <col min="5389" max="5390" width="16" style="2" customWidth="1"/>
    <col min="5391" max="5391" width="12.6640625" style="2" customWidth="1"/>
    <col min="5392" max="5392" width="13.44140625" style="2" customWidth="1"/>
    <col min="5393" max="5393" width="13.88671875" style="2" customWidth="1"/>
    <col min="5394" max="5394" width="14" style="2" customWidth="1"/>
    <col min="5395" max="5395" width="14.88671875" style="2" customWidth="1"/>
    <col min="5396" max="5402" width="11.44140625" style="2" customWidth="1"/>
    <col min="5403" max="5632" width="11.44140625" style="2"/>
    <col min="5633" max="5633" width="6.5546875" style="2" customWidth="1"/>
    <col min="5634" max="5634" width="55.33203125" style="2" customWidth="1"/>
    <col min="5635" max="5635" width="19.5546875" style="2" customWidth="1"/>
    <col min="5636" max="5636" width="15.77734375" style="2" customWidth="1"/>
    <col min="5637" max="5637" width="18.21875" style="2" customWidth="1"/>
    <col min="5638" max="5638" width="17.33203125" style="2" customWidth="1"/>
    <col min="5639" max="5639" width="20" style="2" customWidth="1"/>
    <col min="5640" max="5640" width="15.77734375" style="2" customWidth="1"/>
    <col min="5641" max="5641" width="19.6640625" style="2" customWidth="1"/>
    <col min="5642" max="5642" width="17.33203125" style="2" customWidth="1"/>
    <col min="5643" max="5643" width="18.77734375" style="2" customWidth="1"/>
    <col min="5644" max="5644" width="14.109375" style="2" customWidth="1"/>
    <col min="5645" max="5646" width="16" style="2" customWidth="1"/>
    <col min="5647" max="5647" width="12.6640625" style="2" customWidth="1"/>
    <col min="5648" max="5648" width="13.44140625" style="2" customWidth="1"/>
    <col min="5649" max="5649" width="13.88671875" style="2" customWidth="1"/>
    <col min="5650" max="5650" width="14" style="2" customWidth="1"/>
    <col min="5651" max="5651" width="14.88671875" style="2" customWidth="1"/>
    <col min="5652" max="5658" width="11.44140625" style="2" customWidth="1"/>
    <col min="5659" max="5888" width="11.44140625" style="2"/>
    <col min="5889" max="5889" width="6.5546875" style="2" customWidth="1"/>
    <col min="5890" max="5890" width="55.33203125" style="2" customWidth="1"/>
    <col min="5891" max="5891" width="19.5546875" style="2" customWidth="1"/>
    <col min="5892" max="5892" width="15.77734375" style="2" customWidth="1"/>
    <col min="5893" max="5893" width="18.21875" style="2" customWidth="1"/>
    <col min="5894" max="5894" width="17.33203125" style="2" customWidth="1"/>
    <col min="5895" max="5895" width="20" style="2" customWidth="1"/>
    <col min="5896" max="5896" width="15.77734375" style="2" customWidth="1"/>
    <col min="5897" max="5897" width="19.6640625" style="2" customWidth="1"/>
    <col min="5898" max="5898" width="17.33203125" style="2" customWidth="1"/>
    <col min="5899" max="5899" width="18.77734375" style="2" customWidth="1"/>
    <col min="5900" max="5900" width="14.109375" style="2" customWidth="1"/>
    <col min="5901" max="5902" width="16" style="2" customWidth="1"/>
    <col min="5903" max="5903" width="12.6640625" style="2" customWidth="1"/>
    <col min="5904" max="5904" width="13.44140625" style="2" customWidth="1"/>
    <col min="5905" max="5905" width="13.88671875" style="2" customWidth="1"/>
    <col min="5906" max="5906" width="14" style="2" customWidth="1"/>
    <col min="5907" max="5907" width="14.88671875" style="2" customWidth="1"/>
    <col min="5908" max="5914" width="11.44140625" style="2" customWidth="1"/>
    <col min="5915" max="6144" width="11.44140625" style="2"/>
    <col min="6145" max="6145" width="6.5546875" style="2" customWidth="1"/>
    <col min="6146" max="6146" width="55.33203125" style="2" customWidth="1"/>
    <col min="6147" max="6147" width="19.5546875" style="2" customWidth="1"/>
    <col min="6148" max="6148" width="15.77734375" style="2" customWidth="1"/>
    <col min="6149" max="6149" width="18.21875" style="2" customWidth="1"/>
    <col min="6150" max="6150" width="17.33203125" style="2" customWidth="1"/>
    <col min="6151" max="6151" width="20" style="2" customWidth="1"/>
    <col min="6152" max="6152" width="15.77734375" style="2" customWidth="1"/>
    <col min="6153" max="6153" width="19.6640625" style="2" customWidth="1"/>
    <col min="6154" max="6154" width="17.33203125" style="2" customWidth="1"/>
    <col min="6155" max="6155" width="18.77734375" style="2" customWidth="1"/>
    <col min="6156" max="6156" width="14.109375" style="2" customWidth="1"/>
    <col min="6157" max="6158" width="16" style="2" customWidth="1"/>
    <col min="6159" max="6159" width="12.6640625" style="2" customWidth="1"/>
    <col min="6160" max="6160" width="13.44140625" style="2" customWidth="1"/>
    <col min="6161" max="6161" width="13.88671875" style="2" customWidth="1"/>
    <col min="6162" max="6162" width="14" style="2" customWidth="1"/>
    <col min="6163" max="6163" width="14.88671875" style="2" customWidth="1"/>
    <col min="6164" max="6170" width="11.44140625" style="2" customWidth="1"/>
    <col min="6171" max="6400" width="11.44140625" style="2"/>
    <col min="6401" max="6401" width="6.5546875" style="2" customWidth="1"/>
    <col min="6402" max="6402" width="55.33203125" style="2" customWidth="1"/>
    <col min="6403" max="6403" width="19.5546875" style="2" customWidth="1"/>
    <col min="6404" max="6404" width="15.77734375" style="2" customWidth="1"/>
    <col min="6405" max="6405" width="18.21875" style="2" customWidth="1"/>
    <col min="6406" max="6406" width="17.33203125" style="2" customWidth="1"/>
    <col min="6407" max="6407" width="20" style="2" customWidth="1"/>
    <col min="6408" max="6408" width="15.77734375" style="2" customWidth="1"/>
    <col min="6409" max="6409" width="19.6640625" style="2" customWidth="1"/>
    <col min="6410" max="6410" width="17.33203125" style="2" customWidth="1"/>
    <col min="6411" max="6411" width="18.77734375" style="2" customWidth="1"/>
    <col min="6412" max="6412" width="14.109375" style="2" customWidth="1"/>
    <col min="6413" max="6414" width="16" style="2" customWidth="1"/>
    <col min="6415" max="6415" width="12.6640625" style="2" customWidth="1"/>
    <col min="6416" max="6416" width="13.44140625" style="2" customWidth="1"/>
    <col min="6417" max="6417" width="13.88671875" style="2" customWidth="1"/>
    <col min="6418" max="6418" width="14" style="2" customWidth="1"/>
    <col min="6419" max="6419" width="14.88671875" style="2" customWidth="1"/>
    <col min="6420" max="6426" width="11.44140625" style="2" customWidth="1"/>
    <col min="6427" max="6656" width="11.44140625" style="2"/>
    <col min="6657" max="6657" width="6.5546875" style="2" customWidth="1"/>
    <col min="6658" max="6658" width="55.33203125" style="2" customWidth="1"/>
    <col min="6659" max="6659" width="19.5546875" style="2" customWidth="1"/>
    <col min="6660" max="6660" width="15.77734375" style="2" customWidth="1"/>
    <col min="6661" max="6661" width="18.21875" style="2" customWidth="1"/>
    <col min="6662" max="6662" width="17.33203125" style="2" customWidth="1"/>
    <col min="6663" max="6663" width="20" style="2" customWidth="1"/>
    <col min="6664" max="6664" width="15.77734375" style="2" customWidth="1"/>
    <col min="6665" max="6665" width="19.6640625" style="2" customWidth="1"/>
    <col min="6666" max="6666" width="17.33203125" style="2" customWidth="1"/>
    <col min="6667" max="6667" width="18.77734375" style="2" customWidth="1"/>
    <col min="6668" max="6668" width="14.109375" style="2" customWidth="1"/>
    <col min="6669" max="6670" width="16" style="2" customWidth="1"/>
    <col min="6671" max="6671" width="12.6640625" style="2" customWidth="1"/>
    <col min="6672" max="6672" width="13.44140625" style="2" customWidth="1"/>
    <col min="6673" max="6673" width="13.88671875" style="2" customWidth="1"/>
    <col min="6674" max="6674" width="14" style="2" customWidth="1"/>
    <col min="6675" max="6675" width="14.88671875" style="2" customWidth="1"/>
    <col min="6676" max="6682" width="11.44140625" style="2" customWidth="1"/>
    <col min="6683" max="6912" width="11.44140625" style="2"/>
    <col min="6913" max="6913" width="6.5546875" style="2" customWidth="1"/>
    <col min="6914" max="6914" width="55.33203125" style="2" customWidth="1"/>
    <col min="6915" max="6915" width="19.5546875" style="2" customWidth="1"/>
    <col min="6916" max="6916" width="15.77734375" style="2" customWidth="1"/>
    <col min="6917" max="6917" width="18.21875" style="2" customWidth="1"/>
    <col min="6918" max="6918" width="17.33203125" style="2" customWidth="1"/>
    <col min="6919" max="6919" width="20" style="2" customWidth="1"/>
    <col min="6920" max="6920" width="15.77734375" style="2" customWidth="1"/>
    <col min="6921" max="6921" width="19.6640625" style="2" customWidth="1"/>
    <col min="6922" max="6922" width="17.33203125" style="2" customWidth="1"/>
    <col min="6923" max="6923" width="18.77734375" style="2" customWidth="1"/>
    <col min="6924" max="6924" width="14.109375" style="2" customWidth="1"/>
    <col min="6925" max="6926" width="16" style="2" customWidth="1"/>
    <col min="6927" max="6927" width="12.6640625" style="2" customWidth="1"/>
    <col min="6928" max="6928" width="13.44140625" style="2" customWidth="1"/>
    <col min="6929" max="6929" width="13.88671875" style="2" customWidth="1"/>
    <col min="6930" max="6930" width="14" style="2" customWidth="1"/>
    <col min="6931" max="6931" width="14.88671875" style="2" customWidth="1"/>
    <col min="6932" max="6938" width="11.44140625" style="2" customWidth="1"/>
    <col min="6939" max="7168" width="11.44140625" style="2"/>
    <col min="7169" max="7169" width="6.5546875" style="2" customWidth="1"/>
    <col min="7170" max="7170" width="55.33203125" style="2" customWidth="1"/>
    <col min="7171" max="7171" width="19.5546875" style="2" customWidth="1"/>
    <col min="7172" max="7172" width="15.77734375" style="2" customWidth="1"/>
    <col min="7173" max="7173" width="18.21875" style="2" customWidth="1"/>
    <col min="7174" max="7174" width="17.33203125" style="2" customWidth="1"/>
    <col min="7175" max="7175" width="20" style="2" customWidth="1"/>
    <col min="7176" max="7176" width="15.77734375" style="2" customWidth="1"/>
    <col min="7177" max="7177" width="19.6640625" style="2" customWidth="1"/>
    <col min="7178" max="7178" width="17.33203125" style="2" customWidth="1"/>
    <col min="7179" max="7179" width="18.77734375" style="2" customWidth="1"/>
    <col min="7180" max="7180" width="14.109375" style="2" customWidth="1"/>
    <col min="7181" max="7182" width="16" style="2" customWidth="1"/>
    <col min="7183" max="7183" width="12.6640625" style="2" customWidth="1"/>
    <col min="7184" max="7184" width="13.44140625" style="2" customWidth="1"/>
    <col min="7185" max="7185" width="13.88671875" style="2" customWidth="1"/>
    <col min="7186" max="7186" width="14" style="2" customWidth="1"/>
    <col min="7187" max="7187" width="14.88671875" style="2" customWidth="1"/>
    <col min="7188" max="7194" width="11.44140625" style="2" customWidth="1"/>
    <col min="7195" max="7424" width="11.44140625" style="2"/>
    <col min="7425" max="7425" width="6.5546875" style="2" customWidth="1"/>
    <col min="7426" max="7426" width="55.33203125" style="2" customWidth="1"/>
    <col min="7427" max="7427" width="19.5546875" style="2" customWidth="1"/>
    <col min="7428" max="7428" width="15.77734375" style="2" customWidth="1"/>
    <col min="7429" max="7429" width="18.21875" style="2" customWidth="1"/>
    <col min="7430" max="7430" width="17.33203125" style="2" customWidth="1"/>
    <col min="7431" max="7431" width="20" style="2" customWidth="1"/>
    <col min="7432" max="7432" width="15.77734375" style="2" customWidth="1"/>
    <col min="7433" max="7433" width="19.6640625" style="2" customWidth="1"/>
    <col min="7434" max="7434" width="17.33203125" style="2" customWidth="1"/>
    <col min="7435" max="7435" width="18.77734375" style="2" customWidth="1"/>
    <col min="7436" max="7436" width="14.109375" style="2" customWidth="1"/>
    <col min="7437" max="7438" width="16" style="2" customWidth="1"/>
    <col min="7439" max="7439" width="12.6640625" style="2" customWidth="1"/>
    <col min="7440" max="7440" width="13.44140625" style="2" customWidth="1"/>
    <col min="7441" max="7441" width="13.88671875" style="2" customWidth="1"/>
    <col min="7442" max="7442" width="14" style="2" customWidth="1"/>
    <col min="7443" max="7443" width="14.88671875" style="2" customWidth="1"/>
    <col min="7444" max="7450" width="11.44140625" style="2" customWidth="1"/>
    <col min="7451" max="7680" width="11.44140625" style="2"/>
    <col min="7681" max="7681" width="6.5546875" style="2" customWidth="1"/>
    <col min="7682" max="7682" width="55.33203125" style="2" customWidth="1"/>
    <col min="7683" max="7683" width="19.5546875" style="2" customWidth="1"/>
    <col min="7684" max="7684" width="15.77734375" style="2" customWidth="1"/>
    <col min="7685" max="7685" width="18.21875" style="2" customWidth="1"/>
    <col min="7686" max="7686" width="17.33203125" style="2" customWidth="1"/>
    <col min="7687" max="7687" width="20" style="2" customWidth="1"/>
    <col min="7688" max="7688" width="15.77734375" style="2" customWidth="1"/>
    <col min="7689" max="7689" width="19.6640625" style="2" customWidth="1"/>
    <col min="7690" max="7690" width="17.33203125" style="2" customWidth="1"/>
    <col min="7691" max="7691" width="18.77734375" style="2" customWidth="1"/>
    <col min="7692" max="7692" width="14.109375" style="2" customWidth="1"/>
    <col min="7693" max="7694" width="16" style="2" customWidth="1"/>
    <col min="7695" max="7695" width="12.6640625" style="2" customWidth="1"/>
    <col min="7696" max="7696" width="13.44140625" style="2" customWidth="1"/>
    <col min="7697" max="7697" width="13.88671875" style="2" customWidth="1"/>
    <col min="7698" max="7698" width="14" style="2" customWidth="1"/>
    <col min="7699" max="7699" width="14.88671875" style="2" customWidth="1"/>
    <col min="7700" max="7706" width="11.44140625" style="2" customWidth="1"/>
    <col min="7707" max="7936" width="11.44140625" style="2"/>
    <col min="7937" max="7937" width="6.5546875" style="2" customWidth="1"/>
    <col min="7938" max="7938" width="55.33203125" style="2" customWidth="1"/>
    <col min="7939" max="7939" width="19.5546875" style="2" customWidth="1"/>
    <col min="7940" max="7940" width="15.77734375" style="2" customWidth="1"/>
    <col min="7941" max="7941" width="18.21875" style="2" customWidth="1"/>
    <col min="7942" max="7942" width="17.33203125" style="2" customWidth="1"/>
    <col min="7943" max="7943" width="20" style="2" customWidth="1"/>
    <col min="7944" max="7944" width="15.77734375" style="2" customWidth="1"/>
    <col min="7945" max="7945" width="19.6640625" style="2" customWidth="1"/>
    <col min="7946" max="7946" width="17.33203125" style="2" customWidth="1"/>
    <col min="7947" max="7947" width="18.77734375" style="2" customWidth="1"/>
    <col min="7948" max="7948" width="14.109375" style="2" customWidth="1"/>
    <col min="7949" max="7950" width="16" style="2" customWidth="1"/>
    <col min="7951" max="7951" width="12.6640625" style="2" customWidth="1"/>
    <col min="7952" max="7952" width="13.44140625" style="2" customWidth="1"/>
    <col min="7953" max="7953" width="13.88671875" style="2" customWidth="1"/>
    <col min="7954" max="7954" width="14" style="2" customWidth="1"/>
    <col min="7955" max="7955" width="14.88671875" style="2" customWidth="1"/>
    <col min="7956" max="7962" width="11.44140625" style="2" customWidth="1"/>
    <col min="7963" max="8192" width="11.44140625" style="2"/>
    <col min="8193" max="8193" width="6.5546875" style="2" customWidth="1"/>
    <col min="8194" max="8194" width="55.33203125" style="2" customWidth="1"/>
    <col min="8195" max="8195" width="19.5546875" style="2" customWidth="1"/>
    <col min="8196" max="8196" width="15.77734375" style="2" customWidth="1"/>
    <col min="8197" max="8197" width="18.21875" style="2" customWidth="1"/>
    <col min="8198" max="8198" width="17.33203125" style="2" customWidth="1"/>
    <col min="8199" max="8199" width="20" style="2" customWidth="1"/>
    <col min="8200" max="8200" width="15.77734375" style="2" customWidth="1"/>
    <col min="8201" max="8201" width="19.6640625" style="2" customWidth="1"/>
    <col min="8202" max="8202" width="17.33203125" style="2" customWidth="1"/>
    <col min="8203" max="8203" width="18.77734375" style="2" customWidth="1"/>
    <col min="8204" max="8204" width="14.109375" style="2" customWidth="1"/>
    <col min="8205" max="8206" width="16" style="2" customWidth="1"/>
    <col min="8207" max="8207" width="12.6640625" style="2" customWidth="1"/>
    <col min="8208" max="8208" width="13.44140625" style="2" customWidth="1"/>
    <col min="8209" max="8209" width="13.88671875" style="2" customWidth="1"/>
    <col min="8210" max="8210" width="14" style="2" customWidth="1"/>
    <col min="8211" max="8211" width="14.88671875" style="2" customWidth="1"/>
    <col min="8212" max="8218" width="11.44140625" style="2" customWidth="1"/>
    <col min="8219" max="8448" width="11.44140625" style="2"/>
    <col min="8449" max="8449" width="6.5546875" style="2" customWidth="1"/>
    <col min="8450" max="8450" width="55.33203125" style="2" customWidth="1"/>
    <col min="8451" max="8451" width="19.5546875" style="2" customWidth="1"/>
    <col min="8452" max="8452" width="15.77734375" style="2" customWidth="1"/>
    <col min="8453" max="8453" width="18.21875" style="2" customWidth="1"/>
    <col min="8454" max="8454" width="17.33203125" style="2" customWidth="1"/>
    <col min="8455" max="8455" width="20" style="2" customWidth="1"/>
    <col min="8456" max="8456" width="15.77734375" style="2" customWidth="1"/>
    <col min="8457" max="8457" width="19.6640625" style="2" customWidth="1"/>
    <col min="8458" max="8458" width="17.33203125" style="2" customWidth="1"/>
    <col min="8459" max="8459" width="18.77734375" style="2" customWidth="1"/>
    <col min="8460" max="8460" width="14.109375" style="2" customWidth="1"/>
    <col min="8461" max="8462" width="16" style="2" customWidth="1"/>
    <col min="8463" max="8463" width="12.6640625" style="2" customWidth="1"/>
    <col min="8464" max="8464" width="13.44140625" style="2" customWidth="1"/>
    <col min="8465" max="8465" width="13.88671875" style="2" customWidth="1"/>
    <col min="8466" max="8466" width="14" style="2" customWidth="1"/>
    <col min="8467" max="8467" width="14.88671875" style="2" customWidth="1"/>
    <col min="8468" max="8474" width="11.44140625" style="2" customWidth="1"/>
    <col min="8475" max="8704" width="11.44140625" style="2"/>
    <col min="8705" max="8705" width="6.5546875" style="2" customWidth="1"/>
    <col min="8706" max="8706" width="55.33203125" style="2" customWidth="1"/>
    <col min="8707" max="8707" width="19.5546875" style="2" customWidth="1"/>
    <col min="8708" max="8708" width="15.77734375" style="2" customWidth="1"/>
    <col min="8709" max="8709" width="18.21875" style="2" customWidth="1"/>
    <col min="8710" max="8710" width="17.33203125" style="2" customWidth="1"/>
    <col min="8711" max="8711" width="20" style="2" customWidth="1"/>
    <col min="8712" max="8712" width="15.77734375" style="2" customWidth="1"/>
    <col min="8713" max="8713" width="19.6640625" style="2" customWidth="1"/>
    <col min="8714" max="8714" width="17.33203125" style="2" customWidth="1"/>
    <col min="8715" max="8715" width="18.77734375" style="2" customWidth="1"/>
    <col min="8716" max="8716" width="14.109375" style="2" customWidth="1"/>
    <col min="8717" max="8718" width="16" style="2" customWidth="1"/>
    <col min="8719" max="8719" width="12.6640625" style="2" customWidth="1"/>
    <col min="8720" max="8720" width="13.44140625" style="2" customWidth="1"/>
    <col min="8721" max="8721" width="13.88671875" style="2" customWidth="1"/>
    <col min="8722" max="8722" width="14" style="2" customWidth="1"/>
    <col min="8723" max="8723" width="14.88671875" style="2" customWidth="1"/>
    <col min="8724" max="8730" width="11.44140625" style="2" customWidth="1"/>
    <col min="8731" max="8960" width="11.44140625" style="2"/>
    <col min="8961" max="8961" width="6.5546875" style="2" customWidth="1"/>
    <col min="8962" max="8962" width="55.33203125" style="2" customWidth="1"/>
    <col min="8963" max="8963" width="19.5546875" style="2" customWidth="1"/>
    <col min="8964" max="8964" width="15.77734375" style="2" customWidth="1"/>
    <col min="8965" max="8965" width="18.21875" style="2" customWidth="1"/>
    <col min="8966" max="8966" width="17.33203125" style="2" customWidth="1"/>
    <col min="8967" max="8967" width="20" style="2" customWidth="1"/>
    <col min="8968" max="8968" width="15.77734375" style="2" customWidth="1"/>
    <col min="8969" max="8969" width="19.6640625" style="2" customWidth="1"/>
    <col min="8970" max="8970" width="17.33203125" style="2" customWidth="1"/>
    <col min="8971" max="8971" width="18.77734375" style="2" customWidth="1"/>
    <col min="8972" max="8972" width="14.109375" style="2" customWidth="1"/>
    <col min="8973" max="8974" width="16" style="2" customWidth="1"/>
    <col min="8975" max="8975" width="12.6640625" style="2" customWidth="1"/>
    <col min="8976" max="8976" width="13.44140625" style="2" customWidth="1"/>
    <col min="8977" max="8977" width="13.88671875" style="2" customWidth="1"/>
    <col min="8978" max="8978" width="14" style="2" customWidth="1"/>
    <col min="8979" max="8979" width="14.88671875" style="2" customWidth="1"/>
    <col min="8980" max="8986" width="11.44140625" style="2" customWidth="1"/>
    <col min="8987" max="9216" width="11.44140625" style="2"/>
    <col min="9217" max="9217" width="6.5546875" style="2" customWidth="1"/>
    <col min="9218" max="9218" width="55.33203125" style="2" customWidth="1"/>
    <col min="9219" max="9219" width="19.5546875" style="2" customWidth="1"/>
    <col min="9220" max="9220" width="15.77734375" style="2" customWidth="1"/>
    <col min="9221" max="9221" width="18.21875" style="2" customWidth="1"/>
    <col min="9222" max="9222" width="17.33203125" style="2" customWidth="1"/>
    <col min="9223" max="9223" width="20" style="2" customWidth="1"/>
    <col min="9224" max="9224" width="15.77734375" style="2" customWidth="1"/>
    <col min="9225" max="9225" width="19.6640625" style="2" customWidth="1"/>
    <col min="9226" max="9226" width="17.33203125" style="2" customWidth="1"/>
    <col min="9227" max="9227" width="18.77734375" style="2" customWidth="1"/>
    <col min="9228" max="9228" width="14.109375" style="2" customWidth="1"/>
    <col min="9229" max="9230" width="16" style="2" customWidth="1"/>
    <col min="9231" max="9231" width="12.6640625" style="2" customWidth="1"/>
    <col min="9232" max="9232" width="13.44140625" style="2" customWidth="1"/>
    <col min="9233" max="9233" width="13.88671875" style="2" customWidth="1"/>
    <col min="9234" max="9234" width="14" style="2" customWidth="1"/>
    <col min="9235" max="9235" width="14.88671875" style="2" customWidth="1"/>
    <col min="9236" max="9242" width="11.44140625" style="2" customWidth="1"/>
    <col min="9243" max="9472" width="11.44140625" style="2"/>
    <col min="9473" max="9473" width="6.5546875" style="2" customWidth="1"/>
    <col min="9474" max="9474" width="55.33203125" style="2" customWidth="1"/>
    <col min="9475" max="9475" width="19.5546875" style="2" customWidth="1"/>
    <col min="9476" max="9476" width="15.77734375" style="2" customWidth="1"/>
    <col min="9477" max="9477" width="18.21875" style="2" customWidth="1"/>
    <col min="9478" max="9478" width="17.33203125" style="2" customWidth="1"/>
    <col min="9479" max="9479" width="20" style="2" customWidth="1"/>
    <col min="9480" max="9480" width="15.77734375" style="2" customWidth="1"/>
    <col min="9481" max="9481" width="19.6640625" style="2" customWidth="1"/>
    <col min="9482" max="9482" width="17.33203125" style="2" customWidth="1"/>
    <col min="9483" max="9483" width="18.77734375" style="2" customWidth="1"/>
    <col min="9484" max="9484" width="14.109375" style="2" customWidth="1"/>
    <col min="9485" max="9486" width="16" style="2" customWidth="1"/>
    <col min="9487" max="9487" width="12.6640625" style="2" customWidth="1"/>
    <col min="9488" max="9488" width="13.44140625" style="2" customWidth="1"/>
    <col min="9489" max="9489" width="13.88671875" style="2" customWidth="1"/>
    <col min="9490" max="9490" width="14" style="2" customWidth="1"/>
    <col min="9491" max="9491" width="14.88671875" style="2" customWidth="1"/>
    <col min="9492" max="9498" width="11.44140625" style="2" customWidth="1"/>
    <col min="9499" max="9728" width="11.44140625" style="2"/>
    <col min="9729" max="9729" width="6.5546875" style="2" customWidth="1"/>
    <col min="9730" max="9730" width="55.33203125" style="2" customWidth="1"/>
    <col min="9731" max="9731" width="19.5546875" style="2" customWidth="1"/>
    <col min="9732" max="9732" width="15.77734375" style="2" customWidth="1"/>
    <col min="9733" max="9733" width="18.21875" style="2" customWidth="1"/>
    <col min="9734" max="9734" width="17.33203125" style="2" customWidth="1"/>
    <col min="9735" max="9735" width="20" style="2" customWidth="1"/>
    <col min="9736" max="9736" width="15.77734375" style="2" customWidth="1"/>
    <col min="9737" max="9737" width="19.6640625" style="2" customWidth="1"/>
    <col min="9738" max="9738" width="17.33203125" style="2" customWidth="1"/>
    <col min="9739" max="9739" width="18.77734375" style="2" customWidth="1"/>
    <col min="9740" max="9740" width="14.109375" style="2" customWidth="1"/>
    <col min="9741" max="9742" width="16" style="2" customWidth="1"/>
    <col min="9743" max="9743" width="12.6640625" style="2" customWidth="1"/>
    <col min="9744" max="9744" width="13.44140625" style="2" customWidth="1"/>
    <col min="9745" max="9745" width="13.88671875" style="2" customWidth="1"/>
    <col min="9746" max="9746" width="14" style="2" customWidth="1"/>
    <col min="9747" max="9747" width="14.88671875" style="2" customWidth="1"/>
    <col min="9748" max="9754" width="11.44140625" style="2" customWidth="1"/>
    <col min="9755" max="9984" width="11.44140625" style="2"/>
    <col min="9985" max="9985" width="6.5546875" style="2" customWidth="1"/>
    <col min="9986" max="9986" width="55.33203125" style="2" customWidth="1"/>
    <col min="9987" max="9987" width="19.5546875" style="2" customWidth="1"/>
    <col min="9988" max="9988" width="15.77734375" style="2" customWidth="1"/>
    <col min="9989" max="9989" width="18.21875" style="2" customWidth="1"/>
    <col min="9990" max="9990" width="17.33203125" style="2" customWidth="1"/>
    <col min="9991" max="9991" width="20" style="2" customWidth="1"/>
    <col min="9992" max="9992" width="15.77734375" style="2" customWidth="1"/>
    <col min="9993" max="9993" width="19.6640625" style="2" customWidth="1"/>
    <col min="9994" max="9994" width="17.33203125" style="2" customWidth="1"/>
    <col min="9995" max="9995" width="18.77734375" style="2" customWidth="1"/>
    <col min="9996" max="9996" width="14.109375" style="2" customWidth="1"/>
    <col min="9997" max="9998" width="16" style="2" customWidth="1"/>
    <col min="9999" max="9999" width="12.6640625" style="2" customWidth="1"/>
    <col min="10000" max="10000" width="13.44140625" style="2" customWidth="1"/>
    <col min="10001" max="10001" width="13.88671875" style="2" customWidth="1"/>
    <col min="10002" max="10002" width="14" style="2" customWidth="1"/>
    <col min="10003" max="10003" width="14.88671875" style="2" customWidth="1"/>
    <col min="10004" max="10010" width="11.44140625" style="2" customWidth="1"/>
    <col min="10011" max="10240" width="11.44140625" style="2"/>
    <col min="10241" max="10241" width="6.5546875" style="2" customWidth="1"/>
    <col min="10242" max="10242" width="55.33203125" style="2" customWidth="1"/>
    <col min="10243" max="10243" width="19.5546875" style="2" customWidth="1"/>
    <col min="10244" max="10244" width="15.77734375" style="2" customWidth="1"/>
    <col min="10245" max="10245" width="18.21875" style="2" customWidth="1"/>
    <col min="10246" max="10246" width="17.33203125" style="2" customWidth="1"/>
    <col min="10247" max="10247" width="20" style="2" customWidth="1"/>
    <col min="10248" max="10248" width="15.77734375" style="2" customWidth="1"/>
    <col min="10249" max="10249" width="19.6640625" style="2" customWidth="1"/>
    <col min="10250" max="10250" width="17.33203125" style="2" customWidth="1"/>
    <col min="10251" max="10251" width="18.77734375" style="2" customWidth="1"/>
    <col min="10252" max="10252" width="14.109375" style="2" customWidth="1"/>
    <col min="10253" max="10254" width="16" style="2" customWidth="1"/>
    <col min="10255" max="10255" width="12.6640625" style="2" customWidth="1"/>
    <col min="10256" max="10256" width="13.44140625" style="2" customWidth="1"/>
    <col min="10257" max="10257" width="13.88671875" style="2" customWidth="1"/>
    <col min="10258" max="10258" width="14" style="2" customWidth="1"/>
    <col min="10259" max="10259" width="14.88671875" style="2" customWidth="1"/>
    <col min="10260" max="10266" width="11.44140625" style="2" customWidth="1"/>
    <col min="10267" max="10496" width="11.44140625" style="2"/>
    <col min="10497" max="10497" width="6.5546875" style="2" customWidth="1"/>
    <col min="10498" max="10498" width="55.33203125" style="2" customWidth="1"/>
    <col min="10499" max="10499" width="19.5546875" style="2" customWidth="1"/>
    <col min="10500" max="10500" width="15.77734375" style="2" customWidth="1"/>
    <col min="10501" max="10501" width="18.21875" style="2" customWidth="1"/>
    <col min="10502" max="10502" width="17.33203125" style="2" customWidth="1"/>
    <col min="10503" max="10503" width="20" style="2" customWidth="1"/>
    <col min="10504" max="10504" width="15.77734375" style="2" customWidth="1"/>
    <col min="10505" max="10505" width="19.6640625" style="2" customWidth="1"/>
    <col min="10506" max="10506" width="17.33203125" style="2" customWidth="1"/>
    <col min="10507" max="10507" width="18.77734375" style="2" customWidth="1"/>
    <col min="10508" max="10508" width="14.109375" style="2" customWidth="1"/>
    <col min="10509" max="10510" width="16" style="2" customWidth="1"/>
    <col min="10511" max="10511" width="12.6640625" style="2" customWidth="1"/>
    <col min="10512" max="10512" width="13.44140625" style="2" customWidth="1"/>
    <col min="10513" max="10513" width="13.88671875" style="2" customWidth="1"/>
    <col min="10514" max="10514" width="14" style="2" customWidth="1"/>
    <col min="10515" max="10515" width="14.88671875" style="2" customWidth="1"/>
    <col min="10516" max="10522" width="11.44140625" style="2" customWidth="1"/>
    <col min="10523" max="10752" width="11.44140625" style="2"/>
    <col min="10753" max="10753" width="6.5546875" style="2" customWidth="1"/>
    <col min="10754" max="10754" width="55.33203125" style="2" customWidth="1"/>
    <col min="10755" max="10755" width="19.5546875" style="2" customWidth="1"/>
    <col min="10756" max="10756" width="15.77734375" style="2" customWidth="1"/>
    <col min="10757" max="10757" width="18.21875" style="2" customWidth="1"/>
    <col min="10758" max="10758" width="17.33203125" style="2" customWidth="1"/>
    <col min="10759" max="10759" width="20" style="2" customWidth="1"/>
    <col min="10760" max="10760" width="15.77734375" style="2" customWidth="1"/>
    <col min="10761" max="10761" width="19.6640625" style="2" customWidth="1"/>
    <col min="10762" max="10762" width="17.33203125" style="2" customWidth="1"/>
    <col min="10763" max="10763" width="18.77734375" style="2" customWidth="1"/>
    <col min="10764" max="10764" width="14.109375" style="2" customWidth="1"/>
    <col min="10765" max="10766" width="16" style="2" customWidth="1"/>
    <col min="10767" max="10767" width="12.6640625" style="2" customWidth="1"/>
    <col min="10768" max="10768" width="13.44140625" style="2" customWidth="1"/>
    <col min="10769" max="10769" width="13.88671875" style="2" customWidth="1"/>
    <col min="10770" max="10770" width="14" style="2" customWidth="1"/>
    <col min="10771" max="10771" width="14.88671875" style="2" customWidth="1"/>
    <col min="10772" max="10778" width="11.44140625" style="2" customWidth="1"/>
    <col min="10779" max="11008" width="11.44140625" style="2"/>
    <col min="11009" max="11009" width="6.5546875" style="2" customWidth="1"/>
    <col min="11010" max="11010" width="55.33203125" style="2" customWidth="1"/>
    <col min="11011" max="11011" width="19.5546875" style="2" customWidth="1"/>
    <col min="11012" max="11012" width="15.77734375" style="2" customWidth="1"/>
    <col min="11013" max="11013" width="18.21875" style="2" customWidth="1"/>
    <col min="11014" max="11014" width="17.33203125" style="2" customWidth="1"/>
    <col min="11015" max="11015" width="20" style="2" customWidth="1"/>
    <col min="11016" max="11016" width="15.77734375" style="2" customWidth="1"/>
    <col min="11017" max="11017" width="19.6640625" style="2" customWidth="1"/>
    <col min="11018" max="11018" width="17.33203125" style="2" customWidth="1"/>
    <col min="11019" max="11019" width="18.77734375" style="2" customWidth="1"/>
    <col min="11020" max="11020" width="14.109375" style="2" customWidth="1"/>
    <col min="11021" max="11022" width="16" style="2" customWidth="1"/>
    <col min="11023" max="11023" width="12.6640625" style="2" customWidth="1"/>
    <col min="11024" max="11024" width="13.44140625" style="2" customWidth="1"/>
    <col min="11025" max="11025" width="13.88671875" style="2" customWidth="1"/>
    <col min="11026" max="11026" width="14" style="2" customWidth="1"/>
    <col min="11027" max="11027" width="14.88671875" style="2" customWidth="1"/>
    <col min="11028" max="11034" width="11.44140625" style="2" customWidth="1"/>
    <col min="11035" max="11264" width="11.44140625" style="2"/>
    <col min="11265" max="11265" width="6.5546875" style="2" customWidth="1"/>
    <col min="11266" max="11266" width="55.33203125" style="2" customWidth="1"/>
    <col min="11267" max="11267" width="19.5546875" style="2" customWidth="1"/>
    <col min="11268" max="11268" width="15.77734375" style="2" customWidth="1"/>
    <col min="11269" max="11269" width="18.21875" style="2" customWidth="1"/>
    <col min="11270" max="11270" width="17.33203125" style="2" customWidth="1"/>
    <col min="11271" max="11271" width="20" style="2" customWidth="1"/>
    <col min="11272" max="11272" width="15.77734375" style="2" customWidth="1"/>
    <col min="11273" max="11273" width="19.6640625" style="2" customWidth="1"/>
    <col min="11274" max="11274" width="17.33203125" style="2" customWidth="1"/>
    <col min="11275" max="11275" width="18.77734375" style="2" customWidth="1"/>
    <col min="11276" max="11276" width="14.109375" style="2" customWidth="1"/>
    <col min="11277" max="11278" width="16" style="2" customWidth="1"/>
    <col min="11279" max="11279" width="12.6640625" style="2" customWidth="1"/>
    <col min="11280" max="11280" width="13.44140625" style="2" customWidth="1"/>
    <col min="11281" max="11281" width="13.88671875" style="2" customWidth="1"/>
    <col min="11282" max="11282" width="14" style="2" customWidth="1"/>
    <col min="11283" max="11283" width="14.88671875" style="2" customWidth="1"/>
    <col min="11284" max="11290" width="11.44140625" style="2" customWidth="1"/>
    <col min="11291" max="11520" width="11.44140625" style="2"/>
    <col min="11521" max="11521" width="6.5546875" style="2" customWidth="1"/>
    <col min="11522" max="11522" width="55.33203125" style="2" customWidth="1"/>
    <col min="11523" max="11523" width="19.5546875" style="2" customWidth="1"/>
    <col min="11524" max="11524" width="15.77734375" style="2" customWidth="1"/>
    <col min="11525" max="11525" width="18.21875" style="2" customWidth="1"/>
    <col min="11526" max="11526" width="17.33203125" style="2" customWidth="1"/>
    <col min="11527" max="11527" width="20" style="2" customWidth="1"/>
    <col min="11528" max="11528" width="15.77734375" style="2" customWidth="1"/>
    <col min="11529" max="11529" width="19.6640625" style="2" customWidth="1"/>
    <col min="11530" max="11530" width="17.33203125" style="2" customWidth="1"/>
    <col min="11531" max="11531" width="18.77734375" style="2" customWidth="1"/>
    <col min="11532" max="11532" width="14.109375" style="2" customWidth="1"/>
    <col min="11533" max="11534" width="16" style="2" customWidth="1"/>
    <col min="11535" max="11535" width="12.6640625" style="2" customWidth="1"/>
    <col min="11536" max="11536" width="13.44140625" style="2" customWidth="1"/>
    <col min="11537" max="11537" width="13.88671875" style="2" customWidth="1"/>
    <col min="11538" max="11538" width="14" style="2" customWidth="1"/>
    <col min="11539" max="11539" width="14.88671875" style="2" customWidth="1"/>
    <col min="11540" max="11546" width="11.44140625" style="2" customWidth="1"/>
    <col min="11547" max="11776" width="11.44140625" style="2"/>
    <col min="11777" max="11777" width="6.5546875" style="2" customWidth="1"/>
    <col min="11778" max="11778" width="55.33203125" style="2" customWidth="1"/>
    <col min="11779" max="11779" width="19.5546875" style="2" customWidth="1"/>
    <col min="11780" max="11780" width="15.77734375" style="2" customWidth="1"/>
    <col min="11781" max="11781" width="18.21875" style="2" customWidth="1"/>
    <col min="11782" max="11782" width="17.33203125" style="2" customWidth="1"/>
    <col min="11783" max="11783" width="20" style="2" customWidth="1"/>
    <col min="11784" max="11784" width="15.77734375" style="2" customWidth="1"/>
    <col min="11785" max="11785" width="19.6640625" style="2" customWidth="1"/>
    <col min="11786" max="11786" width="17.33203125" style="2" customWidth="1"/>
    <col min="11787" max="11787" width="18.77734375" style="2" customWidth="1"/>
    <col min="11788" max="11788" width="14.109375" style="2" customWidth="1"/>
    <col min="11789" max="11790" width="16" style="2" customWidth="1"/>
    <col min="11791" max="11791" width="12.6640625" style="2" customWidth="1"/>
    <col min="11792" max="11792" width="13.44140625" style="2" customWidth="1"/>
    <col min="11793" max="11793" width="13.88671875" style="2" customWidth="1"/>
    <col min="11794" max="11794" width="14" style="2" customWidth="1"/>
    <col min="11795" max="11795" width="14.88671875" style="2" customWidth="1"/>
    <col min="11796" max="11802" width="11.44140625" style="2" customWidth="1"/>
    <col min="11803" max="12032" width="11.44140625" style="2"/>
    <col min="12033" max="12033" width="6.5546875" style="2" customWidth="1"/>
    <col min="12034" max="12034" width="55.33203125" style="2" customWidth="1"/>
    <col min="12035" max="12035" width="19.5546875" style="2" customWidth="1"/>
    <col min="12036" max="12036" width="15.77734375" style="2" customWidth="1"/>
    <col min="12037" max="12037" width="18.21875" style="2" customWidth="1"/>
    <col min="12038" max="12038" width="17.33203125" style="2" customWidth="1"/>
    <col min="12039" max="12039" width="20" style="2" customWidth="1"/>
    <col min="12040" max="12040" width="15.77734375" style="2" customWidth="1"/>
    <col min="12041" max="12041" width="19.6640625" style="2" customWidth="1"/>
    <col min="12042" max="12042" width="17.33203125" style="2" customWidth="1"/>
    <col min="12043" max="12043" width="18.77734375" style="2" customWidth="1"/>
    <col min="12044" max="12044" width="14.109375" style="2" customWidth="1"/>
    <col min="12045" max="12046" width="16" style="2" customWidth="1"/>
    <col min="12047" max="12047" width="12.6640625" style="2" customWidth="1"/>
    <col min="12048" max="12048" width="13.44140625" style="2" customWidth="1"/>
    <col min="12049" max="12049" width="13.88671875" style="2" customWidth="1"/>
    <col min="12050" max="12050" width="14" style="2" customWidth="1"/>
    <col min="12051" max="12051" width="14.88671875" style="2" customWidth="1"/>
    <col min="12052" max="12058" width="11.44140625" style="2" customWidth="1"/>
    <col min="12059" max="12288" width="11.44140625" style="2"/>
    <col min="12289" max="12289" width="6.5546875" style="2" customWidth="1"/>
    <col min="12290" max="12290" width="55.33203125" style="2" customWidth="1"/>
    <col min="12291" max="12291" width="19.5546875" style="2" customWidth="1"/>
    <col min="12292" max="12292" width="15.77734375" style="2" customWidth="1"/>
    <col min="12293" max="12293" width="18.21875" style="2" customWidth="1"/>
    <col min="12294" max="12294" width="17.33203125" style="2" customWidth="1"/>
    <col min="12295" max="12295" width="20" style="2" customWidth="1"/>
    <col min="12296" max="12296" width="15.77734375" style="2" customWidth="1"/>
    <col min="12297" max="12297" width="19.6640625" style="2" customWidth="1"/>
    <col min="12298" max="12298" width="17.33203125" style="2" customWidth="1"/>
    <col min="12299" max="12299" width="18.77734375" style="2" customWidth="1"/>
    <col min="12300" max="12300" width="14.109375" style="2" customWidth="1"/>
    <col min="12301" max="12302" width="16" style="2" customWidth="1"/>
    <col min="12303" max="12303" width="12.6640625" style="2" customWidth="1"/>
    <col min="12304" max="12304" width="13.44140625" style="2" customWidth="1"/>
    <col min="12305" max="12305" width="13.88671875" style="2" customWidth="1"/>
    <col min="12306" max="12306" width="14" style="2" customWidth="1"/>
    <col min="12307" max="12307" width="14.88671875" style="2" customWidth="1"/>
    <col min="12308" max="12314" width="11.44140625" style="2" customWidth="1"/>
    <col min="12315" max="12544" width="11.44140625" style="2"/>
    <col min="12545" max="12545" width="6.5546875" style="2" customWidth="1"/>
    <col min="12546" max="12546" width="55.33203125" style="2" customWidth="1"/>
    <col min="12547" max="12547" width="19.5546875" style="2" customWidth="1"/>
    <col min="12548" max="12548" width="15.77734375" style="2" customWidth="1"/>
    <col min="12549" max="12549" width="18.21875" style="2" customWidth="1"/>
    <col min="12550" max="12550" width="17.33203125" style="2" customWidth="1"/>
    <col min="12551" max="12551" width="20" style="2" customWidth="1"/>
    <col min="12552" max="12552" width="15.77734375" style="2" customWidth="1"/>
    <col min="12553" max="12553" width="19.6640625" style="2" customWidth="1"/>
    <col min="12554" max="12554" width="17.33203125" style="2" customWidth="1"/>
    <col min="12555" max="12555" width="18.77734375" style="2" customWidth="1"/>
    <col min="12556" max="12556" width="14.109375" style="2" customWidth="1"/>
    <col min="12557" max="12558" width="16" style="2" customWidth="1"/>
    <col min="12559" max="12559" width="12.6640625" style="2" customWidth="1"/>
    <col min="12560" max="12560" width="13.44140625" style="2" customWidth="1"/>
    <col min="12561" max="12561" width="13.88671875" style="2" customWidth="1"/>
    <col min="12562" max="12562" width="14" style="2" customWidth="1"/>
    <col min="12563" max="12563" width="14.88671875" style="2" customWidth="1"/>
    <col min="12564" max="12570" width="11.44140625" style="2" customWidth="1"/>
    <col min="12571" max="12800" width="11.44140625" style="2"/>
    <col min="12801" max="12801" width="6.5546875" style="2" customWidth="1"/>
    <col min="12802" max="12802" width="55.33203125" style="2" customWidth="1"/>
    <col min="12803" max="12803" width="19.5546875" style="2" customWidth="1"/>
    <col min="12804" max="12804" width="15.77734375" style="2" customWidth="1"/>
    <col min="12805" max="12805" width="18.21875" style="2" customWidth="1"/>
    <col min="12806" max="12806" width="17.33203125" style="2" customWidth="1"/>
    <col min="12807" max="12807" width="20" style="2" customWidth="1"/>
    <col min="12808" max="12808" width="15.77734375" style="2" customWidth="1"/>
    <col min="12809" max="12809" width="19.6640625" style="2" customWidth="1"/>
    <col min="12810" max="12810" width="17.33203125" style="2" customWidth="1"/>
    <col min="12811" max="12811" width="18.77734375" style="2" customWidth="1"/>
    <col min="12812" max="12812" width="14.109375" style="2" customWidth="1"/>
    <col min="12813" max="12814" width="16" style="2" customWidth="1"/>
    <col min="12815" max="12815" width="12.6640625" style="2" customWidth="1"/>
    <col min="12816" max="12816" width="13.44140625" style="2" customWidth="1"/>
    <col min="12817" max="12817" width="13.88671875" style="2" customWidth="1"/>
    <col min="12818" max="12818" width="14" style="2" customWidth="1"/>
    <col min="12819" max="12819" width="14.88671875" style="2" customWidth="1"/>
    <col min="12820" max="12826" width="11.44140625" style="2" customWidth="1"/>
    <col min="12827" max="13056" width="11.44140625" style="2"/>
    <col min="13057" max="13057" width="6.5546875" style="2" customWidth="1"/>
    <col min="13058" max="13058" width="55.33203125" style="2" customWidth="1"/>
    <col min="13059" max="13059" width="19.5546875" style="2" customWidth="1"/>
    <col min="13060" max="13060" width="15.77734375" style="2" customWidth="1"/>
    <col min="13061" max="13061" width="18.21875" style="2" customWidth="1"/>
    <col min="13062" max="13062" width="17.33203125" style="2" customWidth="1"/>
    <col min="13063" max="13063" width="20" style="2" customWidth="1"/>
    <col min="13064" max="13064" width="15.77734375" style="2" customWidth="1"/>
    <col min="13065" max="13065" width="19.6640625" style="2" customWidth="1"/>
    <col min="13066" max="13066" width="17.33203125" style="2" customWidth="1"/>
    <col min="13067" max="13067" width="18.77734375" style="2" customWidth="1"/>
    <col min="13068" max="13068" width="14.109375" style="2" customWidth="1"/>
    <col min="13069" max="13070" width="16" style="2" customWidth="1"/>
    <col min="13071" max="13071" width="12.6640625" style="2" customWidth="1"/>
    <col min="13072" max="13072" width="13.44140625" style="2" customWidth="1"/>
    <col min="13073" max="13073" width="13.88671875" style="2" customWidth="1"/>
    <col min="13074" max="13074" width="14" style="2" customWidth="1"/>
    <col min="13075" max="13075" width="14.88671875" style="2" customWidth="1"/>
    <col min="13076" max="13082" width="11.44140625" style="2" customWidth="1"/>
    <col min="13083" max="13312" width="11.44140625" style="2"/>
    <col min="13313" max="13313" width="6.5546875" style="2" customWidth="1"/>
    <col min="13314" max="13314" width="55.33203125" style="2" customWidth="1"/>
    <col min="13315" max="13315" width="19.5546875" style="2" customWidth="1"/>
    <col min="13316" max="13316" width="15.77734375" style="2" customWidth="1"/>
    <col min="13317" max="13317" width="18.21875" style="2" customWidth="1"/>
    <col min="13318" max="13318" width="17.33203125" style="2" customWidth="1"/>
    <col min="13319" max="13319" width="20" style="2" customWidth="1"/>
    <col min="13320" max="13320" width="15.77734375" style="2" customWidth="1"/>
    <col min="13321" max="13321" width="19.6640625" style="2" customWidth="1"/>
    <col min="13322" max="13322" width="17.33203125" style="2" customWidth="1"/>
    <col min="13323" max="13323" width="18.77734375" style="2" customWidth="1"/>
    <col min="13324" max="13324" width="14.109375" style="2" customWidth="1"/>
    <col min="13325" max="13326" width="16" style="2" customWidth="1"/>
    <col min="13327" max="13327" width="12.6640625" style="2" customWidth="1"/>
    <col min="13328" max="13328" width="13.44140625" style="2" customWidth="1"/>
    <col min="13329" max="13329" width="13.88671875" style="2" customWidth="1"/>
    <col min="13330" max="13330" width="14" style="2" customWidth="1"/>
    <col min="13331" max="13331" width="14.88671875" style="2" customWidth="1"/>
    <col min="13332" max="13338" width="11.44140625" style="2" customWidth="1"/>
    <col min="13339" max="13568" width="11.44140625" style="2"/>
    <col min="13569" max="13569" width="6.5546875" style="2" customWidth="1"/>
    <col min="13570" max="13570" width="55.33203125" style="2" customWidth="1"/>
    <col min="13571" max="13571" width="19.5546875" style="2" customWidth="1"/>
    <col min="13572" max="13572" width="15.77734375" style="2" customWidth="1"/>
    <col min="13573" max="13573" width="18.21875" style="2" customWidth="1"/>
    <col min="13574" max="13574" width="17.33203125" style="2" customWidth="1"/>
    <col min="13575" max="13575" width="20" style="2" customWidth="1"/>
    <col min="13576" max="13576" width="15.77734375" style="2" customWidth="1"/>
    <col min="13577" max="13577" width="19.6640625" style="2" customWidth="1"/>
    <col min="13578" max="13578" width="17.33203125" style="2" customWidth="1"/>
    <col min="13579" max="13579" width="18.77734375" style="2" customWidth="1"/>
    <col min="13580" max="13580" width="14.109375" style="2" customWidth="1"/>
    <col min="13581" max="13582" width="16" style="2" customWidth="1"/>
    <col min="13583" max="13583" width="12.6640625" style="2" customWidth="1"/>
    <col min="13584" max="13584" width="13.44140625" style="2" customWidth="1"/>
    <col min="13585" max="13585" width="13.88671875" style="2" customWidth="1"/>
    <col min="13586" max="13586" width="14" style="2" customWidth="1"/>
    <col min="13587" max="13587" width="14.88671875" style="2" customWidth="1"/>
    <col min="13588" max="13594" width="11.44140625" style="2" customWidth="1"/>
    <col min="13595" max="13824" width="11.44140625" style="2"/>
    <col min="13825" max="13825" width="6.5546875" style="2" customWidth="1"/>
    <col min="13826" max="13826" width="55.33203125" style="2" customWidth="1"/>
    <col min="13827" max="13827" width="19.5546875" style="2" customWidth="1"/>
    <col min="13828" max="13828" width="15.77734375" style="2" customWidth="1"/>
    <col min="13829" max="13829" width="18.21875" style="2" customWidth="1"/>
    <col min="13830" max="13830" width="17.33203125" style="2" customWidth="1"/>
    <col min="13831" max="13831" width="20" style="2" customWidth="1"/>
    <col min="13832" max="13832" width="15.77734375" style="2" customWidth="1"/>
    <col min="13833" max="13833" width="19.6640625" style="2" customWidth="1"/>
    <col min="13834" max="13834" width="17.33203125" style="2" customWidth="1"/>
    <col min="13835" max="13835" width="18.77734375" style="2" customWidth="1"/>
    <col min="13836" max="13836" width="14.109375" style="2" customWidth="1"/>
    <col min="13837" max="13838" width="16" style="2" customWidth="1"/>
    <col min="13839" max="13839" width="12.6640625" style="2" customWidth="1"/>
    <col min="13840" max="13840" width="13.44140625" style="2" customWidth="1"/>
    <col min="13841" max="13841" width="13.88671875" style="2" customWidth="1"/>
    <col min="13842" max="13842" width="14" style="2" customWidth="1"/>
    <col min="13843" max="13843" width="14.88671875" style="2" customWidth="1"/>
    <col min="13844" max="13850" width="11.44140625" style="2" customWidth="1"/>
    <col min="13851" max="14080" width="11.44140625" style="2"/>
    <col min="14081" max="14081" width="6.5546875" style="2" customWidth="1"/>
    <col min="14082" max="14082" width="55.33203125" style="2" customWidth="1"/>
    <col min="14083" max="14083" width="19.5546875" style="2" customWidth="1"/>
    <col min="14084" max="14084" width="15.77734375" style="2" customWidth="1"/>
    <col min="14085" max="14085" width="18.21875" style="2" customWidth="1"/>
    <col min="14086" max="14086" width="17.33203125" style="2" customWidth="1"/>
    <col min="14087" max="14087" width="20" style="2" customWidth="1"/>
    <col min="14088" max="14088" width="15.77734375" style="2" customWidth="1"/>
    <col min="14089" max="14089" width="19.6640625" style="2" customWidth="1"/>
    <col min="14090" max="14090" width="17.33203125" style="2" customWidth="1"/>
    <col min="14091" max="14091" width="18.77734375" style="2" customWidth="1"/>
    <col min="14092" max="14092" width="14.109375" style="2" customWidth="1"/>
    <col min="14093" max="14094" width="16" style="2" customWidth="1"/>
    <col min="14095" max="14095" width="12.6640625" style="2" customWidth="1"/>
    <col min="14096" max="14096" width="13.44140625" style="2" customWidth="1"/>
    <col min="14097" max="14097" width="13.88671875" style="2" customWidth="1"/>
    <col min="14098" max="14098" width="14" style="2" customWidth="1"/>
    <col min="14099" max="14099" width="14.88671875" style="2" customWidth="1"/>
    <col min="14100" max="14106" width="11.44140625" style="2" customWidth="1"/>
    <col min="14107" max="14336" width="11.44140625" style="2"/>
    <col min="14337" max="14337" width="6.5546875" style="2" customWidth="1"/>
    <col min="14338" max="14338" width="55.33203125" style="2" customWidth="1"/>
    <col min="14339" max="14339" width="19.5546875" style="2" customWidth="1"/>
    <col min="14340" max="14340" width="15.77734375" style="2" customWidth="1"/>
    <col min="14341" max="14341" width="18.21875" style="2" customWidth="1"/>
    <col min="14342" max="14342" width="17.33203125" style="2" customWidth="1"/>
    <col min="14343" max="14343" width="20" style="2" customWidth="1"/>
    <col min="14344" max="14344" width="15.77734375" style="2" customWidth="1"/>
    <col min="14345" max="14345" width="19.6640625" style="2" customWidth="1"/>
    <col min="14346" max="14346" width="17.33203125" style="2" customWidth="1"/>
    <col min="14347" max="14347" width="18.77734375" style="2" customWidth="1"/>
    <col min="14348" max="14348" width="14.109375" style="2" customWidth="1"/>
    <col min="14349" max="14350" width="16" style="2" customWidth="1"/>
    <col min="14351" max="14351" width="12.6640625" style="2" customWidth="1"/>
    <col min="14352" max="14352" width="13.44140625" style="2" customWidth="1"/>
    <col min="14353" max="14353" width="13.88671875" style="2" customWidth="1"/>
    <col min="14354" max="14354" width="14" style="2" customWidth="1"/>
    <col min="14355" max="14355" width="14.88671875" style="2" customWidth="1"/>
    <col min="14356" max="14362" width="11.44140625" style="2" customWidth="1"/>
    <col min="14363" max="14592" width="11.44140625" style="2"/>
    <col min="14593" max="14593" width="6.5546875" style="2" customWidth="1"/>
    <col min="14594" max="14594" width="55.33203125" style="2" customWidth="1"/>
    <col min="14595" max="14595" width="19.5546875" style="2" customWidth="1"/>
    <col min="14596" max="14596" width="15.77734375" style="2" customWidth="1"/>
    <col min="14597" max="14597" width="18.21875" style="2" customWidth="1"/>
    <col min="14598" max="14598" width="17.33203125" style="2" customWidth="1"/>
    <col min="14599" max="14599" width="20" style="2" customWidth="1"/>
    <col min="14600" max="14600" width="15.77734375" style="2" customWidth="1"/>
    <col min="14601" max="14601" width="19.6640625" style="2" customWidth="1"/>
    <col min="14602" max="14602" width="17.33203125" style="2" customWidth="1"/>
    <col min="14603" max="14603" width="18.77734375" style="2" customWidth="1"/>
    <col min="14604" max="14604" width="14.109375" style="2" customWidth="1"/>
    <col min="14605" max="14606" width="16" style="2" customWidth="1"/>
    <col min="14607" max="14607" width="12.6640625" style="2" customWidth="1"/>
    <col min="14608" max="14608" width="13.44140625" style="2" customWidth="1"/>
    <col min="14609" max="14609" width="13.88671875" style="2" customWidth="1"/>
    <col min="14610" max="14610" width="14" style="2" customWidth="1"/>
    <col min="14611" max="14611" width="14.88671875" style="2" customWidth="1"/>
    <col min="14612" max="14618" width="11.44140625" style="2" customWidth="1"/>
    <col min="14619" max="14848" width="11.44140625" style="2"/>
    <col min="14849" max="14849" width="6.5546875" style="2" customWidth="1"/>
    <col min="14850" max="14850" width="55.33203125" style="2" customWidth="1"/>
    <col min="14851" max="14851" width="19.5546875" style="2" customWidth="1"/>
    <col min="14852" max="14852" width="15.77734375" style="2" customWidth="1"/>
    <col min="14853" max="14853" width="18.21875" style="2" customWidth="1"/>
    <col min="14854" max="14854" width="17.33203125" style="2" customWidth="1"/>
    <col min="14855" max="14855" width="20" style="2" customWidth="1"/>
    <col min="14856" max="14856" width="15.77734375" style="2" customWidth="1"/>
    <col min="14857" max="14857" width="19.6640625" style="2" customWidth="1"/>
    <col min="14858" max="14858" width="17.33203125" style="2" customWidth="1"/>
    <col min="14859" max="14859" width="18.77734375" style="2" customWidth="1"/>
    <col min="14860" max="14860" width="14.109375" style="2" customWidth="1"/>
    <col min="14861" max="14862" width="16" style="2" customWidth="1"/>
    <col min="14863" max="14863" width="12.6640625" style="2" customWidth="1"/>
    <col min="14864" max="14864" width="13.44140625" style="2" customWidth="1"/>
    <col min="14865" max="14865" width="13.88671875" style="2" customWidth="1"/>
    <col min="14866" max="14866" width="14" style="2" customWidth="1"/>
    <col min="14867" max="14867" width="14.88671875" style="2" customWidth="1"/>
    <col min="14868" max="14874" width="11.44140625" style="2" customWidth="1"/>
    <col min="14875" max="15104" width="11.44140625" style="2"/>
    <col min="15105" max="15105" width="6.5546875" style="2" customWidth="1"/>
    <col min="15106" max="15106" width="55.33203125" style="2" customWidth="1"/>
    <col min="15107" max="15107" width="19.5546875" style="2" customWidth="1"/>
    <col min="15108" max="15108" width="15.77734375" style="2" customWidth="1"/>
    <col min="15109" max="15109" width="18.21875" style="2" customWidth="1"/>
    <col min="15110" max="15110" width="17.33203125" style="2" customWidth="1"/>
    <col min="15111" max="15111" width="20" style="2" customWidth="1"/>
    <col min="15112" max="15112" width="15.77734375" style="2" customWidth="1"/>
    <col min="15113" max="15113" width="19.6640625" style="2" customWidth="1"/>
    <col min="15114" max="15114" width="17.33203125" style="2" customWidth="1"/>
    <col min="15115" max="15115" width="18.77734375" style="2" customWidth="1"/>
    <col min="15116" max="15116" width="14.109375" style="2" customWidth="1"/>
    <col min="15117" max="15118" width="16" style="2" customWidth="1"/>
    <col min="15119" max="15119" width="12.6640625" style="2" customWidth="1"/>
    <col min="15120" max="15120" width="13.44140625" style="2" customWidth="1"/>
    <col min="15121" max="15121" width="13.88671875" style="2" customWidth="1"/>
    <col min="15122" max="15122" width="14" style="2" customWidth="1"/>
    <col min="15123" max="15123" width="14.88671875" style="2" customWidth="1"/>
    <col min="15124" max="15130" width="11.44140625" style="2" customWidth="1"/>
    <col min="15131" max="15360" width="11.44140625" style="2"/>
    <col min="15361" max="15361" width="6.5546875" style="2" customWidth="1"/>
    <col min="15362" max="15362" width="55.33203125" style="2" customWidth="1"/>
    <col min="15363" max="15363" width="19.5546875" style="2" customWidth="1"/>
    <col min="15364" max="15364" width="15.77734375" style="2" customWidth="1"/>
    <col min="15365" max="15365" width="18.21875" style="2" customWidth="1"/>
    <col min="15366" max="15366" width="17.33203125" style="2" customWidth="1"/>
    <col min="15367" max="15367" width="20" style="2" customWidth="1"/>
    <col min="15368" max="15368" width="15.77734375" style="2" customWidth="1"/>
    <col min="15369" max="15369" width="19.6640625" style="2" customWidth="1"/>
    <col min="15370" max="15370" width="17.33203125" style="2" customWidth="1"/>
    <col min="15371" max="15371" width="18.77734375" style="2" customWidth="1"/>
    <col min="15372" max="15372" width="14.109375" style="2" customWidth="1"/>
    <col min="15373" max="15374" width="16" style="2" customWidth="1"/>
    <col min="15375" max="15375" width="12.6640625" style="2" customWidth="1"/>
    <col min="15376" max="15376" width="13.44140625" style="2" customWidth="1"/>
    <col min="15377" max="15377" width="13.88671875" style="2" customWidth="1"/>
    <col min="15378" max="15378" width="14" style="2" customWidth="1"/>
    <col min="15379" max="15379" width="14.88671875" style="2" customWidth="1"/>
    <col min="15380" max="15386" width="11.44140625" style="2" customWidth="1"/>
    <col min="15387" max="15616" width="11.44140625" style="2"/>
    <col min="15617" max="15617" width="6.5546875" style="2" customWidth="1"/>
    <col min="15618" max="15618" width="55.33203125" style="2" customWidth="1"/>
    <col min="15619" max="15619" width="19.5546875" style="2" customWidth="1"/>
    <col min="15620" max="15620" width="15.77734375" style="2" customWidth="1"/>
    <col min="15621" max="15621" width="18.21875" style="2" customWidth="1"/>
    <col min="15622" max="15622" width="17.33203125" style="2" customWidth="1"/>
    <col min="15623" max="15623" width="20" style="2" customWidth="1"/>
    <col min="15624" max="15624" width="15.77734375" style="2" customWidth="1"/>
    <col min="15625" max="15625" width="19.6640625" style="2" customWidth="1"/>
    <col min="15626" max="15626" width="17.33203125" style="2" customWidth="1"/>
    <col min="15627" max="15627" width="18.77734375" style="2" customWidth="1"/>
    <col min="15628" max="15628" width="14.109375" style="2" customWidth="1"/>
    <col min="15629" max="15630" width="16" style="2" customWidth="1"/>
    <col min="15631" max="15631" width="12.6640625" style="2" customWidth="1"/>
    <col min="15632" max="15632" width="13.44140625" style="2" customWidth="1"/>
    <col min="15633" max="15633" width="13.88671875" style="2" customWidth="1"/>
    <col min="15634" max="15634" width="14" style="2" customWidth="1"/>
    <col min="15635" max="15635" width="14.88671875" style="2" customWidth="1"/>
    <col min="15636" max="15642" width="11.44140625" style="2" customWidth="1"/>
    <col min="15643" max="15872" width="11.44140625" style="2"/>
    <col min="15873" max="15873" width="6.5546875" style="2" customWidth="1"/>
    <col min="15874" max="15874" width="55.33203125" style="2" customWidth="1"/>
    <col min="15875" max="15875" width="19.5546875" style="2" customWidth="1"/>
    <col min="15876" max="15876" width="15.77734375" style="2" customWidth="1"/>
    <col min="15877" max="15877" width="18.21875" style="2" customWidth="1"/>
    <col min="15878" max="15878" width="17.33203125" style="2" customWidth="1"/>
    <col min="15879" max="15879" width="20" style="2" customWidth="1"/>
    <col min="15880" max="15880" width="15.77734375" style="2" customWidth="1"/>
    <col min="15881" max="15881" width="19.6640625" style="2" customWidth="1"/>
    <col min="15882" max="15882" width="17.33203125" style="2" customWidth="1"/>
    <col min="15883" max="15883" width="18.77734375" style="2" customWidth="1"/>
    <col min="15884" max="15884" width="14.109375" style="2" customWidth="1"/>
    <col min="15885" max="15886" width="16" style="2" customWidth="1"/>
    <col min="15887" max="15887" width="12.6640625" style="2" customWidth="1"/>
    <col min="15888" max="15888" width="13.44140625" style="2" customWidth="1"/>
    <col min="15889" max="15889" width="13.88671875" style="2" customWidth="1"/>
    <col min="15890" max="15890" width="14" style="2" customWidth="1"/>
    <col min="15891" max="15891" width="14.88671875" style="2" customWidth="1"/>
    <col min="15892" max="15898" width="11.44140625" style="2" customWidth="1"/>
    <col min="15899" max="16128" width="11.44140625" style="2"/>
    <col min="16129" max="16129" width="6.5546875" style="2" customWidth="1"/>
    <col min="16130" max="16130" width="55.33203125" style="2" customWidth="1"/>
    <col min="16131" max="16131" width="19.5546875" style="2" customWidth="1"/>
    <col min="16132" max="16132" width="15.77734375" style="2" customWidth="1"/>
    <col min="16133" max="16133" width="18.21875" style="2" customWidth="1"/>
    <col min="16134" max="16134" width="17.33203125" style="2" customWidth="1"/>
    <col min="16135" max="16135" width="20" style="2" customWidth="1"/>
    <col min="16136" max="16136" width="15.77734375" style="2" customWidth="1"/>
    <col min="16137" max="16137" width="19.6640625" style="2" customWidth="1"/>
    <col min="16138" max="16138" width="17.33203125" style="2" customWidth="1"/>
    <col min="16139" max="16139" width="18.77734375" style="2" customWidth="1"/>
    <col min="16140" max="16140" width="14.109375" style="2" customWidth="1"/>
    <col min="16141" max="16142" width="16" style="2" customWidth="1"/>
    <col min="16143" max="16143" width="12.6640625" style="2" customWidth="1"/>
    <col min="16144" max="16144" width="13.44140625" style="2" customWidth="1"/>
    <col min="16145" max="16145" width="13.88671875" style="2" customWidth="1"/>
    <col min="16146" max="16146" width="14" style="2" customWidth="1"/>
    <col min="16147" max="16147" width="14.88671875" style="2" customWidth="1"/>
    <col min="16148" max="16154" width="11.44140625" style="2" customWidth="1"/>
    <col min="16155" max="16384" width="11.44140625" style="2"/>
  </cols>
  <sheetData>
    <row r="1" spans="1:1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3.8" thickBot="1" x14ac:dyDescent="0.3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s="120" customFormat="1" ht="96" customHeight="1" thickBot="1" x14ac:dyDescent="0.3">
      <c r="A6" s="111" t="s">
        <v>5</v>
      </c>
      <c r="B6" s="112" t="s">
        <v>6</v>
      </c>
      <c r="C6" s="110" t="s">
        <v>7</v>
      </c>
      <c r="D6" s="113" t="s">
        <v>8</v>
      </c>
      <c r="E6" s="110" t="s">
        <v>9</v>
      </c>
      <c r="F6" s="109" t="s">
        <v>10</v>
      </c>
      <c r="G6" s="114" t="s">
        <v>11</v>
      </c>
      <c r="H6" s="115" t="s">
        <v>12</v>
      </c>
      <c r="I6" s="110" t="s">
        <v>158</v>
      </c>
      <c r="J6" s="116" t="s">
        <v>13</v>
      </c>
      <c r="K6" s="114" t="s">
        <v>14</v>
      </c>
      <c r="L6" s="110" t="s">
        <v>15</v>
      </c>
      <c r="M6" s="110" t="s">
        <v>16</v>
      </c>
      <c r="N6" s="110" t="s">
        <v>17</v>
      </c>
      <c r="O6" s="110" t="s">
        <v>18</v>
      </c>
      <c r="P6" s="117" t="s">
        <v>19</v>
      </c>
      <c r="Q6" s="118" t="s">
        <v>20</v>
      </c>
      <c r="R6" s="118" t="s">
        <v>21</v>
      </c>
      <c r="S6" s="119" t="s">
        <v>22</v>
      </c>
    </row>
    <row r="7" spans="1:19" s="4" customFormat="1" ht="21.75" customHeight="1" thickBot="1" x14ac:dyDescent="0.3">
      <c r="A7" s="5" t="s">
        <v>23</v>
      </c>
      <c r="B7" s="6"/>
      <c r="C7" s="7">
        <f t="shared" ref="C7:P7" si="0">C8+C19+C50+C80+C87+C92</f>
        <v>1939718</v>
      </c>
      <c r="D7" s="7">
        <f t="shared" si="0"/>
        <v>0</v>
      </c>
      <c r="E7" s="7">
        <f t="shared" si="0"/>
        <v>1939718</v>
      </c>
      <c r="F7" s="7">
        <f t="shared" si="0"/>
        <v>388813</v>
      </c>
      <c r="G7" s="7">
        <f t="shared" si="0"/>
        <v>2328531</v>
      </c>
      <c r="H7" s="8">
        <f t="shared" si="0"/>
        <v>1620893.5</v>
      </c>
      <c r="I7" s="7">
        <f t="shared" si="0"/>
        <v>80917</v>
      </c>
      <c r="J7" s="9">
        <f t="shared" si="0"/>
        <v>984880.36999999988</v>
      </c>
      <c r="K7" s="7">
        <f t="shared" si="0"/>
        <v>1168694.6400000001</v>
      </c>
      <c r="L7" s="7">
        <f t="shared" si="0"/>
        <v>533115.8600000001</v>
      </c>
      <c r="M7" s="7">
        <f t="shared" si="0"/>
        <v>707637.5</v>
      </c>
      <c r="N7" s="7">
        <f t="shared" si="0"/>
        <v>1159836.3599999999</v>
      </c>
      <c r="O7" s="7">
        <f t="shared" si="0"/>
        <v>822571.60000000009</v>
      </c>
      <c r="P7" s="7">
        <f t="shared" si="0"/>
        <v>346123.04000000004</v>
      </c>
      <c r="Q7" s="10">
        <f>SUM(K7/H7*100%)</f>
        <v>0.72101877143686499</v>
      </c>
      <c r="R7" s="10">
        <f>SUM(J7/G7*100%)</f>
        <v>0.42296210357517244</v>
      </c>
      <c r="S7" s="10">
        <f>SUM(K7/G7*100%)</f>
        <v>0.50190211768707405</v>
      </c>
    </row>
    <row r="8" spans="1:19" s="4" customFormat="1" ht="34.5" customHeight="1" thickBot="1" x14ac:dyDescent="0.3">
      <c r="A8" s="11">
        <v>0</v>
      </c>
      <c r="B8" s="12" t="s">
        <v>24</v>
      </c>
      <c r="C8" s="13">
        <f>SUM(C9:C18)</f>
        <v>1412126</v>
      </c>
      <c r="D8" s="13">
        <f>SUM(D9:D18)</f>
        <v>0</v>
      </c>
      <c r="E8" s="13">
        <f>SUM(E9:E18)</f>
        <v>1412126</v>
      </c>
      <c r="F8" s="13">
        <f t="shared" ref="F8:P8" si="1">SUM(F9:F18)</f>
        <v>205292</v>
      </c>
      <c r="G8" s="14">
        <f t="shared" si="1"/>
        <v>1617418</v>
      </c>
      <c r="H8" s="15">
        <f t="shared" si="1"/>
        <v>1031648</v>
      </c>
      <c r="I8" s="13">
        <f t="shared" si="1"/>
        <v>0</v>
      </c>
      <c r="J8" s="16">
        <f t="shared" si="1"/>
        <v>740931.41</v>
      </c>
      <c r="K8" s="13">
        <f t="shared" si="1"/>
        <v>759216.41</v>
      </c>
      <c r="L8" s="13">
        <f t="shared" si="1"/>
        <v>272431.59000000003</v>
      </c>
      <c r="M8" s="13">
        <f t="shared" si="1"/>
        <v>585770</v>
      </c>
      <c r="N8" s="13">
        <f t="shared" si="1"/>
        <v>858201.59</v>
      </c>
      <c r="O8" s="13">
        <f t="shared" si="1"/>
        <v>712631.16</v>
      </c>
      <c r="P8" s="14">
        <f t="shared" si="1"/>
        <v>46585.25</v>
      </c>
      <c r="Q8" s="17">
        <f>SUM(K8/H8*100%)</f>
        <v>0.7359258293526475</v>
      </c>
      <c r="R8" s="17">
        <f>SUM(J8/G8*100%)</f>
        <v>0.45809519246107067</v>
      </c>
      <c r="S8" s="17">
        <f>SUM(K8/G8*100%)</f>
        <v>0.46940024780236156</v>
      </c>
    </row>
    <row r="9" spans="1:19" ht="21.75" customHeight="1" x14ac:dyDescent="0.25">
      <c r="A9" s="18" t="s">
        <v>25</v>
      </c>
      <c r="B9" s="19" t="s">
        <v>26</v>
      </c>
      <c r="C9" s="20">
        <v>1133760</v>
      </c>
      <c r="D9" s="21">
        <v>0</v>
      </c>
      <c r="E9" s="20">
        <v>1133760</v>
      </c>
      <c r="F9" s="20">
        <f>54240-15727+121500</f>
        <v>160013</v>
      </c>
      <c r="G9" s="22">
        <f t="shared" ref="G9:G18" si="2">SUM(E9+F9)</f>
        <v>1293773</v>
      </c>
      <c r="H9" s="23">
        <f>(94480+94480-7800+91842+159158+78753+115064-20584+215980)</f>
        <v>821373</v>
      </c>
      <c r="I9" s="21">
        <v>0</v>
      </c>
      <c r="J9" s="24">
        <f>SUM(86500+161500+87683.34+87071.67+92350+97033.33)</f>
        <v>612138.34</v>
      </c>
      <c r="K9" s="25">
        <f>343930+86233.34+97880+97880</f>
        <v>625923.34</v>
      </c>
      <c r="L9" s="26">
        <f t="shared" ref="L9:L18" si="3">SUM(H9-K9)</f>
        <v>195449.66000000003</v>
      </c>
      <c r="M9" s="26">
        <f t="shared" ref="M9:M18" si="4">SUM(G9-H9)</f>
        <v>472400</v>
      </c>
      <c r="N9" s="26">
        <f t="shared" ref="N9:N18" si="5">SUM(-I9+L9+M9)</f>
        <v>667849.66</v>
      </c>
      <c r="O9" s="21">
        <f>15757.23+65198.07+201295.9+311943</f>
        <v>594194.19999999995</v>
      </c>
      <c r="P9" s="27">
        <f t="shared" ref="P9:P49" si="6">SUM(K9-O9)</f>
        <v>31729.140000000014</v>
      </c>
      <c r="Q9" s="28">
        <f>SUM(K9/H9*100%)</f>
        <v>0.76204518531775445</v>
      </c>
      <c r="R9" s="28">
        <f>SUM(J9/G9*100%)</f>
        <v>0.47314199631620074</v>
      </c>
      <c r="S9" s="28">
        <f>SUM(K9/G9*100%)</f>
        <v>0.48379687935982585</v>
      </c>
    </row>
    <row r="10" spans="1:19" ht="21.75" customHeight="1" x14ac:dyDescent="0.25">
      <c r="A10" s="18" t="s">
        <v>27</v>
      </c>
      <c r="B10" s="19" t="s">
        <v>28</v>
      </c>
      <c r="C10" s="20">
        <v>54000</v>
      </c>
      <c r="D10" s="21">
        <v>0</v>
      </c>
      <c r="E10" s="20">
        <v>54000</v>
      </c>
      <c r="F10" s="20">
        <v>-3000</v>
      </c>
      <c r="G10" s="22">
        <f t="shared" si="2"/>
        <v>51000</v>
      </c>
      <c r="H10" s="23">
        <f>(4500+4500-1500+4500+3000+4500+4500+4500)</f>
        <v>28500</v>
      </c>
      <c r="I10" s="21">
        <v>0</v>
      </c>
      <c r="J10" s="24">
        <f>SUM(3000+6000+3000+3000+3000+3000)</f>
        <v>21000</v>
      </c>
      <c r="K10" s="25">
        <f>13500+3000+4500+4500</f>
        <v>25500</v>
      </c>
      <c r="L10" s="26">
        <f t="shared" si="3"/>
        <v>3000</v>
      </c>
      <c r="M10" s="26">
        <f t="shared" si="4"/>
        <v>22500</v>
      </c>
      <c r="N10" s="26">
        <f t="shared" si="5"/>
        <v>25500</v>
      </c>
      <c r="O10" s="29">
        <f>638.34+1276.68+8361.66+10084.98</f>
        <v>20361.66</v>
      </c>
      <c r="P10" s="27">
        <f t="shared" si="6"/>
        <v>5138.34</v>
      </c>
      <c r="Q10" s="28">
        <f t="shared" ref="Q10:Q18" si="7">SUM(K10/H10*100%)</f>
        <v>0.89473684210526316</v>
      </c>
      <c r="R10" s="28">
        <f t="shared" ref="R10:R18" si="8">SUM(J10/G10*100%)</f>
        <v>0.41176470588235292</v>
      </c>
      <c r="S10" s="28">
        <f t="shared" ref="S10:S18" si="9">SUM(K10/G10*100%)</f>
        <v>0.5</v>
      </c>
    </row>
    <row r="11" spans="1:19" ht="21.75" customHeight="1" x14ac:dyDescent="0.25">
      <c r="A11" s="30" t="s">
        <v>29</v>
      </c>
      <c r="B11" s="19" t="s">
        <v>30</v>
      </c>
      <c r="C11" s="20">
        <v>31350</v>
      </c>
      <c r="D11" s="21">
        <v>0</v>
      </c>
      <c r="E11" s="20">
        <v>31350</v>
      </c>
      <c r="F11" s="20">
        <f>1170+5500</f>
        <v>6670</v>
      </c>
      <c r="G11" s="22">
        <f t="shared" si="2"/>
        <v>38020</v>
      </c>
      <c r="H11" s="23">
        <f>(10404+23+1193+15950)</f>
        <v>27570</v>
      </c>
      <c r="I11" s="21">
        <v>0</v>
      </c>
      <c r="J11" s="31">
        <f>SUM(9367+138.65+62.65)</f>
        <v>9568.2999999999993</v>
      </c>
      <c r="K11" s="25">
        <f>9505.65+62.65</f>
        <v>9568.2999999999993</v>
      </c>
      <c r="L11" s="26">
        <f t="shared" si="3"/>
        <v>18001.7</v>
      </c>
      <c r="M11" s="26">
        <f t="shared" si="4"/>
        <v>10450</v>
      </c>
      <c r="N11" s="26">
        <f t="shared" si="5"/>
        <v>28451.7</v>
      </c>
      <c r="O11" s="29">
        <f>8687.63+10</f>
        <v>8697.6299999999992</v>
      </c>
      <c r="P11" s="27">
        <f t="shared" si="6"/>
        <v>870.67000000000007</v>
      </c>
      <c r="Q11" s="28">
        <f t="shared" si="7"/>
        <v>0.34705476967718529</v>
      </c>
      <c r="R11" s="28">
        <f t="shared" si="8"/>
        <v>0.25166491320357703</v>
      </c>
      <c r="S11" s="28">
        <f t="shared" si="9"/>
        <v>0.25166491320357703</v>
      </c>
    </row>
    <row r="12" spans="1:19" ht="21.75" customHeight="1" x14ac:dyDescent="0.25">
      <c r="A12" s="18" t="s">
        <v>31</v>
      </c>
      <c r="B12" s="19" t="s">
        <v>32</v>
      </c>
      <c r="C12" s="20">
        <v>153281</v>
      </c>
      <c r="D12" s="21">
        <v>0</v>
      </c>
      <c r="E12" s="20">
        <v>153281</v>
      </c>
      <c r="F12" s="20">
        <f>5444+15561</f>
        <v>21005</v>
      </c>
      <c r="G12" s="22">
        <f t="shared" si="2"/>
        <v>174286</v>
      </c>
      <c r="H12" s="23">
        <f>(12774+12774-3823+12774+22041+12774+12773+28334)</f>
        <v>110421</v>
      </c>
      <c r="I12" s="21">
        <v>0</v>
      </c>
      <c r="J12" s="24">
        <f>SUM(22100+9827.33+11108.71+11178.03+11687.13)</f>
        <v>65901.2</v>
      </c>
      <c r="K12" s="25">
        <f>31927.33+11108.71+11178.03+11687.13</f>
        <v>65901.2</v>
      </c>
      <c r="L12" s="26">
        <f t="shared" si="3"/>
        <v>44519.8</v>
      </c>
      <c r="M12" s="26">
        <f t="shared" si="4"/>
        <v>63865</v>
      </c>
      <c r="N12" s="26">
        <f t="shared" si="5"/>
        <v>108384.8</v>
      </c>
      <c r="O12" s="29">
        <f>10902.52+21009.86+22142.48+11839.6</f>
        <v>65894.460000000006</v>
      </c>
      <c r="P12" s="27">
        <f t="shared" si="6"/>
        <v>6.7399999999906868</v>
      </c>
      <c r="Q12" s="28">
        <f t="shared" si="7"/>
        <v>0.59681763432680379</v>
      </c>
      <c r="R12" s="28">
        <f t="shared" si="8"/>
        <v>0.37812101947373855</v>
      </c>
      <c r="S12" s="28">
        <f t="shared" si="9"/>
        <v>0.37812101947373855</v>
      </c>
    </row>
    <row r="13" spans="1:19" ht="21.75" customHeight="1" x14ac:dyDescent="0.25">
      <c r="A13" s="18" t="s">
        <v>33</v>
      </c>
      <c r="B13" s="121" t="s">
        <v>34</v>
      </c>
      <c r="C13" s="20">
        <v>17546</v>
      </c>
      <c r="D13" s="21">
        <v>0</v>
      </c>
      <c r="E13" s="20">
        <v>17546</v>
      </c>
      <c r="F13" s="20">
        <f>1094+1825</f>
        <v>2919</v>
      </c>
      <c r="G13" s="22">
        <f t="shared" si="2"/>
        <v>20465</v>
      </c>
      <c r="H13" s="23">
        <f>(1463+1463+1462+2556+1462+1462+3287)</f>
        <v>13155</v>
      </c>
      <c r="I13" s="21">
        <v>0</v>
      </c>
      <c r="J13" s="24">
        <f>SUM(2495+1156.72+1315.3+1323.75+1385.25)</f>
        <v>7676.02</v>
      </c>
      <c r="K13" s="25">
        <f>3651.77+1315.25+1323.75+1385.25</f>
        <v>7676.02</v>
      </c>
      <c r="L13" s="26">
        <f t="shared" si="3"/>
        <v>5478.98</v>
      </c>
      <c r="M13" s="26">
        <f t="shared" si="4"/>
        <v>7310</v>
      </c>
      <c r="N13" s="26">
        <f t="shared" si="5"/>
        <v>12788.98</v>
      </c>
      <c r="O13" s="29">
        <f>1290+2361.77+2621.33+1402.92</f>
        <v>7676.02</v>
      </c>
      <c r="P13" s="27">
        <f t="shared" si="6"/>
        <v>0</v>
      </c>
      <c r="Q13" s="28">
        <f t="shared" si="7"/>
        <v>0.58350589129608521</v>
      </c>
      <c r="R13" s="28">
        <f t="shared" si="8"/>
        <v>0.37508038113852921</v>
      </c>
      <c r="S13" s="28">
        <f t="shared" si="9"/>
        <v>0.37508038113852921</v>
      </c>
    </row>
    <row r="14" spans="1:19" ht="21.75" customHeight="1" x14ac:dyDescent="0.25">
      <c r="A14" s="18" t="s">
        <v>35</v>
      </c>
      <c r="B14" s="121" t="s">
        <v>36</v>
      </c>
      <c r="C14" s="20">
        <v>18680</v>
      </c>
      <c r="D14" s="21">
        <v>0</v>
      </c>
      <c r="E14" s="20">
        <v>18680</v>
      </c>
      <c r="F14" s="20">
        <f>832+1825</f>
        <v>2657</v>
      </c>
      <c r="G14" s="22">
        <f t="shared" si="2"/>
        <v>21337</v>
      </c>
      <c r="H14" s="23">
        <f>(1556+1556-262+1556+2650+1557+1557+3382)</f>
        <v>13552</v>
      </c>
      <c r="I14" s="21">
        <v>0</v>
      </c>
      <c r="J14" s="24">
        <f>SUM(3619+1682.45+1904.35+1916.24+2002.35)</f>
        <v>11124.39</v>
      </c>
      <c r="K14" s="25">
        <f>5301.45+1904.35+1916.24+2002.35</f>
        <v>11124.39</v>
      </c>
      <c r="L14" s="26">
        <f t="shared" si="3"/>
        <v>2427.6100000000006</v>
      </c>
      <c r="M14" s="26">
        <f t="shared" si="4"/>
        <v>7785</v>
      </c>
      <c r="N14" s="26">
        <f t="shared" si="5"/>
        <v>10212.61</v>
      </c>
      <c r="O14" s="29">
        <f>1869+3432.45+3795.86+2027.08</f>
        <v>11124.39</v>
      </c>
      <c r="P14" s="27">
        <f t="shared" si="6"/>
        <v>0</v>
      </c>
      <c r="Q14" s="28">
        <f t="shared" si="7"/>
        <v>0.82086703069657607</v>
      </c>
      <c r="R14" s="28">
        <f t="shared" si="8"/>
        <v>0.52136617143928388</v>
      </c>
      <c r="S14" s="28">
        <f t="shared" si="9"/>
        <v>0.52136617143928388</v>
      </c>
    </row>
    <row r="15" spans="1:19" ht="21.75" customHeight="1" x14ac:dyDescent="0.25">
      <c r="A15" s="18" t="s">
        <v>37</v>
      </c>
      <c r="B15" s="122" t="s">
        <v>157</v>
      </c>
      <c r="C15" s="20">
        <v>3509</v>
      </c>
      <c r="D15" s="21">
        <v>0</v>
      </c>
      <c r="E15" s="20">
        <v>3509</v>
      </c>
      <c r="F15" s="20">
        <f>219+370</f>
        <v>589</v>
      </c>
      <c r="G15" s="22">
        <f t="shared" si="2"/>
        <v>4098</v>
      </c>
      <c r="H15" s="23">
        <f>(293+293+293+512+293+292+662)</f>
        <v>2638</v>
      </c>
      <c r="I15" s="21">
        <v>0</v>
      </c>
      <c r="J15" s="24">
        <f>SUM(495+227+236.1+503.7+276.1)</f>
        <v>1737.9</v>
      </c>
      <c r="K15" s="25">
        <f>722.15+235.95+503.7+276.1</f>
        <v>1737.9</v>
      </c>
      <c r="L15" s="26">
        <f t="shared" si="3"/>
        <v>900.09999999999991</v>
      </c>
      <c r="M15" s="26">
        <f t="shared" si="4"/>
        <v>1460</v>
      </c>
      <c r="N15" s="26">
        <f t="shared" si="5"/>
        <v>2360.1</v>
      </c>
      <c r="O15" s="29">
        <f>480.15+495.35+486.3</f>
        <v>1461.8</v>
      </c>
      <c r="P15" s="27">
        <f t="shared" si="6"/>
        <v>276.10000000000014</v>
      </c>
      <c r="Q15" s="28">
        <f t="shared" si="7"/>
        <v>0.65879454131918125</v>
      </c>
      <c r="R15" s="28">
        <f t="shared" si="8"/>
        <v>0.42408491947291366</v>
      </c>
      <c r="S15" s="28">
        <f t="shared" si="9"/>
        <v>0.42408491947291366</v>
      </c>
    </row>
    <row r="16" spans="1:19" ht="21.75" customHeight="1" x14ac:dyDescent="0.25">
      <c r="A16" s="30" t="s">
        <v>38</v>
      </c>
      <c r="B16" s="19" t="s">
        <v>39</v>
      </c>
      <c r="C16" s="21">
        <v>0</v>
      </c>
      <c r="D16" s="21">
        <v>0</v>
      </c>
      <c r="E16" s="21">
        <v>0</v>
      </c>
      <c r="F16" s="20">
        <v>11891</v>
      </c>
      <c r="G16" s="22">
        <f t="shared" si="2"/>
        <v>11891</v>
      </c>
      <c r="H16" s="23">
        <f>(2000+2270+7621)</f>
        <v>11891</v>
      </c>
      <c r="I16" s="21">
        <v>0</v>
      </c>
      <c r="J16" s="24">
        <f>SUM(4270+5550)</f>
        <v>9820</v>
      </c>
      <c r="K16" s="25">
        <v>9820</v>
      </c>
      <c r="L16" s="26">
        <f t="shared" si="3"/>
        <v>2071</v>
      </c>
      <c r="M16" s="26">
        <f t="shared" si="4"/>
        <v>0</v>
      </c>
      <c r="N16" s="26">
        <f t="shared" si="5"/>
        <v>2071</v>
      </c>
      <c r="O16" s="29">
        <f>1182.66+285.69</f>
        <v>1468.3500000000001</v>
      </c>
      <c r="P16" s="27">
        <f t="shared" si="6"/>
        <v>8351.65</v>
      </c>
      <c r="Q16" s="28">
        <f t="shared" si="7"/>
        <v>0.82583466487259272</v>
      </c>
      <c r="R16" s="28">
        <f t="shared" si="8"/>
        <v>0.82583466487259272</v>
      </c>
      <c r="S16" s="28">
        <f t="shared" si="9"/>
        <v>0.82583466487259272</v>
      </c>
    </row>
    <row r="17" spans="1:250" ht="21.75" customHeight="1" x14ac:dyDescent="0.25">
      <c r="A17" s="30" t="s">
        <v>40</v>
      </c>
      <c r="B17" s="19" t="s">
        <v>41</v>
      </c>
      <c r="C17" s="21">
        <v>0</v>
      </c>
      <c r="D17" s="21">
        <v>0</v>
      </c>
      <c r="E17" s="21">
        <v>0</v>
      </c>
      <c r="F17" s="20">
        <v>364</v>
      </c>
      <c r="G17" s="22">
        <f t="shared" si="2"/>
        <v>364</v>
      </c>
      <c r="H17" s="23">
        <f>(23+341)</f>
        <v>364</v>
      </c>
      <c r="I17" s="21">
        <v>0</v>
      </c>
      <c r="J17" s="24">
        <v>108.47</v>
      </c>
      <c r="K17" s="25">
        <v>108.47</v>
      </c>
      <c r="L17" s="26">
        <f t="shared" si="3"/>
        <v>255.53</v>
      </c>
      <c r="M17" s="26">
        <f t="shared" si="4"/>
        <v>0</v>
      </c>
      <c r="N17" s="26">
        <f t="shared" si="5"/>
        <v>255.53</v>
      </c>
      <c r="O17" s="29">
        <v>6.54</v>
      </c>
      <c r="P17" s="27">
        <f t="shared" si="6"/>
        <v>101.92999999999999</v>
      </c>
      <c r="Q17" s="28">
        <f t="shared" si="7"/>
        <v>0.29799450549450551</v>
      </c>
      <c r="R17" s="28">
        <f t="shared" si="8"/>
        <v>0.29799450549450551</v>
      </c>
      <c r="S17" s="28">
        <f t="shared" si="9"/>
        <v>0.29799450549450551</v>
      </c>
    </row>
    <row r="18" spans="1:250" ht="30" customHeight="1" thickBot="1" x14ac:dyDescent="0.3">
      <c r="A18" s="32" t="s">
        <v>42</v>
      </c>
      <c r="B18" s="33" t="s">
        <v>43</v>
      </c>
      <c r="C18" s="21">
        <v>0</v>
      </c>
      <c r="D18" s="21">
        <v>0</v>
      </c>
      <c r="E18" s="21">
        <v>0</v>
      </c>
      <c r="F18" s="20">
        <v>2184</v>
      </c>
      <c r="G18" s="22">
        <f t="shared" si="2"/>
        <v>2184</v>
      </c>
      <c r="H18" s="23">
        <f>(585+368+1231)</f>
        <v>2184</v>
      </c>
      <c r="I18" s="21">
        <v>0</v>
      </c>
      <c r="J18" s="24">
        <f>SUM(949+907.79)</f>
        <v>1856.79</v>
      </c>
      <c r="K18" s="25">
        <v>1856.79</v>
      </c>
      <c r="L18" s="26">
        <f t="shared" si="3"/>
        <v>327.21000000000004</v>
      </c>
      <c r="M18" s="26">
        <f t="shared" si="4"/>
        <v>0</v>
      </c>
      <c r="N18" s="26">
        <f t="shared" si="5"/>
        <v>327.21000000000004</v>
      </c>
      <c r="O18" s="29">
        <f>259.2+1148.78+338.13</f>
        <v>1746.1100000000001</v>
      </c>
      <c r="P18" s="27">
        <f t="shared" si="6"/>
        <v>110.67999999999984</v>
      </c>
      <c r="Q18" s="28">
        <f t="shared" si="7"/>
        <v>0.85017857142857145</v>
      </c>
      <c r="R18" s="28">
        <f t="shared" si="8"/>
        <v>0.85017857142857145</v>
      </c>
      <c r="S18" s="28">
        <f t="shared" si="9"/>
        <v>0.85017857142857145</v>
      </c>
    </row>
    <row r="19" spans="1:250" s="4" customFormat="1" ht="34.5" customHeight="1" thickBot="1" x14ac:dyDescent="0.3">
      <c r="A19" s="34">
        <v>1</v>
      </c>
      <c r="B19" s="35" t="s">
        <v>44</v>
      </c>
      <c r="C19" s="36">
        <f>SUM(C20:C48)</f>
        <v>472457</v>
      </c>
      <c r="D19" s="36">
        <f>SUM(D20:D49)</f>
        <v>0</v>
      </c>
      <c r="E19" s="36">
        <f>SUM(E20:E49)</f>
        <v>472457</v>
      </c>
      <c r="F19" s="36">
        <f t="shared" ref="F19:O19" si="10">SUM(F20:F49)</f>
        <v>41646</v>
      </c>
      <c r="G19" s="37">
        <f t="shared" si="10"/>
        <v>514103</v>
      </c>
      <c r="H19" s="38">
        <f t="shared" si="10"/>
        <v>407317.5</v>
      </c>
      <c r="I19" s="36">
        <f t="shared" si="10"/>
        <v>80917</v>
      </c>
      <c r="J19" s="39">
        <f t="shared" si="10"/>
        <v>151799.77999999997</v>
      </c>
      <c r="K19" s="36">
        <f>SUM(K20:K49)</f>
        <v>310379.62</v>
      </c>
      <c r="L19" s="36">
        <f t="shared" si="10"/>
        <v>177854.88000000003</v>
      </c>
      <c r="M19" s="36">
        <f t="shared" si="10"/>
        <v>106785.5</v>
      </c>
      <c r="N19" s="36">
        <f t="shared" si="10"/>
        <v>203723.38000000003</v>
      </c>
      <c r="O19" s="36">
        <f t="shared" si="10"/>
        <v>93984.67</v>
      </c>
      <c r="P19" s="40">
        <f t="shared" si="6"/>
        <v>216394.95</v>
      </c>
      <c r="Q19" s="41">
        <f>SUM(K19/H19*100%)</f>
        <v>0.76200904699650762</v>
      </c>
      <c r="R19" s="41">
        <f>SUM(J19/G19*100%)</f>
        <v>0.29527114216411882</v>
      </c>
      <c r="S19" s="41">
        <f>SUM(K19/G19*100%)</f>
        <v>0.60373041977969399</v>
      </c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2"/>
      <c r="DC19" s="42"/>
      <c r="DD19" s="42"/>
      <c r="DE19" s="42"/>
      <c r="DF19" s="42"/>
      <c r="DG19" s="42"/>
      <c r="DH19" s="42"/>
      <c r="DI19" s="42"/>
      <c r="DJ19" s="42"/>
      <c r="DK19" s="42"/>
      <c r="DL19" s="42"/>
      <c r="DM19" s="42"/>
      <c r="DN19" s="42"/>
      <c r="DO19" s="42"/>
      <c r="DP19" s="42"/>
      <c r="DQ19" s="42"/>
      <c r="DR19" s="42"/>
      <c r="DS19" s="42"/>
      <c r="DT19" s="42"/>
      <c r="DU19" s="42"/>
      <c r="DV19" s="42"/>
      <c r="DW19" s="42"/>
      <c r="DX19" s="42"/>
      <c r="DY19" s="42"/>
      <c r="DZ19" s="42"/>
      <c r="EA19" s="42"/>
      <c r="EB19" s="42"/>
      <c r="EC19" s="42"/>
      <c r="ED19" s="42"/>
      <c r="EE19" s="42"/>
      <c r="EF19" s="42"/>
      <c r="EG19" s="42"/>
      <c r="EH19" s="42"/>
      <c r="EI19" s="42"/>
      <c r="EJ19" s="42"/>
      <c r="EK19" s="42"/>
      <c r="EL19" s="42"/>
      <c r="EM19" s="42"/>
      <c r="EN19" s="42"/>
      <c r="EO19" s="42"/>
      <c r="EP19" s="42"/>
      <c r="EQ19" s="42"/>
      <c r="ER19" s="42"/>
      <c r="ES19" s="42"/>
      <c r="ET19" s="42"/>
      <c r="EU19" s="42"/>
      <c r="EV19" s="42"/>
      <c r="EW19" s="42"/>
      <c r="EX19" s="42"/>
      <c r="EY19" s="42"/>
      <c r="EZ19" s="42"/>
      <c r="FA19" s="42"/>
      <c r="FB19" s="42"/>
      <c r="FC19" s="42"/>
      <c r="FD19" s="42"/>
      <c r="FE19" s="42"/>
      <c r="FF19" s="42"/>
      <c r="FG19" s="42"/>
      <c r="FH19" s="42"/>
      <c r="FI19" s="42"/>
      <c r="FJ19" s="42"/>
      <c r="FK19" s="42"/>
      <c r="FL19" s="42"/>
      <c r="FM19" s="42"/>
      <c r="FN19" s="42"/>
      <c r="FO19" s="42"/>
      <c r="FP19" s="42"/>
      <c r="FQ19" s="42"/>
      <c r="FR19" s="42"/>
      <c r="FS19" s="42"/>
      <c r="FT19" s="42"/>
      <c r="FU19" s="42"/>
      <c r="FV19" s="42"/>
      <c r="FW19" s="42"/>
      <c r="FX19" s="42"/>
      <c r="FY19" s="42"/>
      <c r="FZ19" s="42"/>
      <c r="GA19" s="42"/>
      <c r="GB19" s="42"/>
      <c r="GC19" s="42"/>
      <c r="GD19" s="42"/>
      <c r="GE19" s="42"/>
      <c r="GF19" s="42"/>
      <c r="GG19" s="42"/>
      <c r="GH19" s="42"/>
      <c r="GI19" s="42"/>
      <c r="GJ19" s="42"/>
      <c r="GK19" s="42"/>
      <c r="GL19" s="42"/>
      <c r="GM19" s="42"/>
      <c r="GN19" s="42"/>
      <c r="GO19" s="42"/>
      <c r="GP19" s="42"/>
      <c r="GQ19" s="42"/>
      <c r="GR19" s="42"/>
      <c r="GS19" s="42"/>
      <c r="GT19" s="42"/>
      <c r="GU19" s="42"/>
      <c r="GV19" s="42"/>
      <c r="GW19" s="42"/>
      <c r="GX19" s="42"/>
      <c r="GY19" s="42"/>
      <c r="GZ19" s="42"/>
      <c r="HA19" s="42"/>
      <c r="HB19" s="42"/>
      <c r="HC19" s="42"/>
      <c r="HD19" s="42"/>
      <c r="HE19" s="42"/>
      <c r="HF19" s="42"/>
      <c r="HG19" s="42"/>
      <c r="HH19" s="42"/>
      <c r="HI19" s="42"/>
      <c r="HJ19" s="42"/>
      <c r="HK19" s="42"/>
      <c r="HL19" s="42"/>
      <c r="HM19" s="42"/>
      <c r="HN19" s="42"/>
      <c r="HO19" s="42"/>
      <c r="HP19" s="42"/>
      <c r="HQ19" s="42"/>
      <c r="HR19" s="42"/>
      <c r="HS19" s="42"/>
      <c r="HT19" s="42"/>
      <c r="HU19" s="42"/>
      <c r="HV19" s="42"/>
      <c r="HW19" s="42"/>
      <c r="HX19" s="42"/>
      <c r="HY19" s="42"/>
      <c r="HZ19" s="42"/>
      <c r="IA19" s="42"/>
      <c r="IB19" s="42"/>
      <c r="IC19" s="42"/>
      <c r="ID19" s="42"/>
      <c r="IE19" s="42"/>
      <c r="IF19" s="42"/>
      <c r="IG19" s="42"/>
      <c r="IH19" s="42"/>
      <c r="II19" s="42"/>
      <c r="IJ19" s="42"/>
      <c r="IK19" s="42"/>
      <c r="IL19" s="42"/>
      <c r="IM19" s="42"/>
      <c r="IN19" s="42"/>
      <c r="IO19" s="42"/>
      <c r="IP19" s="42"/>
    </row>
    <row r="20" spans="1:250" ht="21.75" customHeight="1" x14ac:dyDescent="0.3">
      <c r="A20" s="43" t="s">
        <v>45</v>
      </c>
      <c r="B20" s="19" t="s">
        <v>46</v>
      </c>
      <c r="C20" s="20">
        <v>170013</v>
      </c>
      <c r="D20" s="21">
        <v>0</v>
      </c>
      <c r="E20" s="20">
        <v>170013</v>
      </c>
      <c r="F20" s="20">
        <v>45130</v>
      </c>
      <c r="G20" s="22">
        <f t="shared" ref="G20:G49" si="11">SUM(E20+F20)</f>
        <v>215143</v>
      </c>
      <c r="H20" s="23">
        <f>SUM(110922-1726+54856)</f>
        <v>164052</v>
      </c>
      <c r="I20" s="44">
        <v>80917</v>
      </c>
      <c r="J20" s="24">
        <f>47376+7221</f>
        <v>54597</v>
      </c>
      <c r="K20" s="45">
        <f>(109194+26320+28538)</f>
        <v>164052</v>
      </c>
      <c r="L20" s="26">
        <f>SUM(H20+I20-K20)</f>
        <v>80917</v>
      </c>
      <c r="M20" s="26">
        <f t="shared" ref="M20:M49" si="12">SUM(G20-H20)</f>
        <v>51091</v>
      </c>
      <c r="N20" s="26">
        <f t="shared" ref="N20:N49" si="13">SUM(-I20+L20+M20)</f>
        <v>51091</v>
      </c>
      <c r="O20" s="21">
        <v>47376</v>
      </c>
      <c r="P20" s="27">
        <f t="shared" si="6"/>
        <v>116676</v>
      </c>
      <c r="Q20" s="28">
        <f t="shared" ref="Q20:Q49" si="14">SUM(K20/H20*100%)</f>
        <v>1</v>
      </c>
      <c r="R20" s="28">
        <f t="shared" ref="R20:R49" si="15">SUM(J20/G20*100%)</f>
        <v>0.2537707478281887</v>
      </c>
      <c r="S20" s="28">
        <f t="shared" ref="S20:S49" si="16">SUM(K20/G20*100%)</f>
        <v>0.76252539008938236</v>
      </c>
    </row>
    <row r="21" spans="1:250" ht="21.75" customHeight="1" x14ac:dyDescent="0.25">
      <c r="A21" s="18" t="s">
        <v>47</v>
      </c>
      <c r="B21" s="19" t="s">
        <v>48</v>
      </c>
      <c r="C21" s="21">
        <v>0</v>
      </c>
      <c r="D21" s="21">
        <v>0</v>
      </c>
      <c r="E21" s="21">
        <v>0</v>
      </c>
      <c r="F21" s="20">
        <f>SUM(3737-15+4000)</f>
        <v>7722</v>
      </c>
      <c r="G21" s="22">
        <f t="shared" si="11"/>
        <v>7722</v>
      </c>
      <c r="H21" s="23">
        <f>SUM(3737-15+4000)</f>
        <v>7722</v>
      </c>
      <c r="I21" s="21">
        <v>0</v>
      </c>
      <c r="J21" s="24">
        <f>3467-0.2</f>
        <v>3466.8</v>
      </c>
      <c r="K21" s="45">
        <f>(2311.2+1155.6)</f>
        <v>3466.7999999999997</v>
      </c>
      <c r="L21" s="26">
        <f t="shared" ref="L21:L49" si="17">SUM(H21-K21)</f>
        <v>4255.2000000000007</v>
      </c>
      <c r="M21" s="26">
        <f t="shared" si="12"/>
        <v>0</v>
      </c>
      <c r="N21" s="26">
        <f t="shared" si="13"/>
        <v>4255.2000000000007</v>
      </c>
      <c r="O21" s="29">
        <f>577.8+321+642</f>
        <v>1540.8</v>
      </c>
      <c r="P21" s="27">
        <f t="shared" si="6"/>
        <v>1925.9999999999998</v>
      </c>
      <c r="Q21" s="28">
        <f t="shared" si="14"/>
        <v>0.44895104895104893</v>
      </c>
      <c r="R21" s="28">
        <f t="shared" si="15"/>
        <v>0.44895104895104898</v>
      </c>
      <c r="S21" s="28">
        <f t="shared" si="16"/>
        <v>0.44895104895104893</v>
      </c>
    </row>
    <row r="22" spans="1:250" ht="21.75" customHeight="1" x14ac:dyDescent="0.25">
      <c r="A22" s="18">
        <v>109</v>
      </c>
      <c r="B22" s="19" t="s">
        <v>49</v>
      </c>
      <c r="C22" s="21">
        <v>0</v>
      </c>
      <c r="D22" s="21">
        <v>0</v>
      </c>
      <c r="E22" s="21">
        <v>0</v>
      </c>
      <c r="F22" s="20">
        <v>1000</v>
      </c>
      <c r="G22" s="22">
        <f t="shared" si="11"/>
        <v>1000</v>
      </c>
      <c r="H22" s="23">
        <f>SUM(1000)</f>
        <v>1000</v>
      </c>
      <c r="I22" s="21">
        <v>0</v>
      </c>
      <c r="J22" s="24">
        <v>0</v>
      </c>
      <c r="K22" s="45">
        <v>0</v>
      </c>
      <c r="L22" s="26">
        <f t="shared" si="17"/>
        <v>1000</v>
      </c>
      <c r="M22" s="26">
        <f t="shared" si="12"/>
        <v>0</v>
      </c>
      <c r="N22" s="26">
        <f t="shared" si="13"/>
        <v>1000</v>
      </c>
      <c r="O22" s="29">
        <v>0</v>
      </c>
      <c r="P22" s="27">
        <f t="shared" si="6"/>
        <v>0</v>
      </c>
      <c r="Q22" s="28">
        <f t="shared" si="14"/>
        <v>0</v>
      </c>
      <c r="R22" s="28">
        <f t="shared" si="15"/>
        <v>0</v>
      </c>
      <c r="S22" s="28">
        <f t="shared" si="16"/>
        <v>0</v>
      </c>
    </row>
    <row r="23" spans="1:250" ht="21.75" customHeight="1" x14ac:dyDescent="0.25">
      <c r="A23" s="30">
        <v>111</v>
      </c>
      <c r="B23" s="19" t="s">
        <v>50</v>
      </c>
      <c r="C23" s="20">
        <v>4530</v>
      </c>
      <c r="D23" s="21">
        <v>0</v>
      </c>
      <c r="E23" s="20">
        <v>4530</v>
      </c>
      <c r="F23" s="20">
        <v>500</v>
      </c>
      <c r="G23" s="22">
        <f t="shared" si="11"/>
        <v>5030</v>
      </c>
      <c r="H23" s="23">
        <f>(377.5+377.5+377.5+877+378+377.5+377.5)</f>
        <v>3142.5</v>
      </c>
      <c r="I23" s="21">
        <v>0</v>
      </c>
      <c r="J23" s="31">
        <v>70.040000000000006</v>
      </c>
      <c r="K23" s="45">
        <v>70.040000000000006</v>
      </c>
      <c r="L23" s="26">
        <f t="shared" si="17"/>
        <v>3072.46</v>
      </c>
      <c r="M23" s="26">
        <f t="shared" si="12"/>
        <v>1887.5</v>
      </c>
      <c r="N23" s="26">
        <f t="shared" si="13"/>
        <v>4959.96</v>
      </c>
      <c r="O23" s="29">
        <v>0</v>
      </c>
      <c r="P23" s="27">
        <f t="shared" si="6"/>
        <v>70.040000000000006</v>
      </c>
      <c r="Q23" s="28">
        <f t="shared" si="14"/>
        <v>2.228798727128083E-2</v>
      </c>
      <c r="R23" s="28">
        <f t="shared" si="15"/>
        <v>1.3924453280318093E-2</v>
      </c>
      <c r="S23" s="28">
        <f t="shared" si="16"/>
        <v>1.3924453280318093E-2</v>
      </c>
    </row>
    <row r="24" spans="1:250" ht="21.75" customHeight="1" x14ac:dyDescent="0.25">
      <c r="A24" s="18" t="s">
        <v>51</v>
      </c>
      <c r="B24" s="19" t="s">
        <v>52</v>
      </c>
      <c r="C24" s="20">
        <v>2020</v>
      </c>
      <c r="D24" s="21">
        <v>0</v>
      </c>
      <c r="E24" s="20">
        <v>2020</v>
      </c>
      <c r="F24" s="20">
        <v>0</v>
      </c>
      <c r="G24" s="22">
        <f t="shared" si="11"/>
        <v>2020</v>
      </c>
      <c r="H24" s="23">
        <f>(169+169+169+169+169+169+169)</f>
        <v>1183</v>
      </c>
      <c r="I24" s="21">
        <v>0</v>
      </c>
      <c r="J24" s="24">
        <v>0</v>
      </c>
      <c r="K24" s="45">
        <v>0</v>
      </c>
      <c r="L24" s="26">
        <f t="shared" si="17"/>
        <v>1183</v>
      </c>
      <c r="M24" s="26">
        <f t="shared" si="12"/>
        <v>837</v>
      </c>
      <c r="N24" s="26">
        <f t="shared" si="13"/>
        <v>2020</v>
      </c>
      <c r="O24" s="29">
        <v>0</v>
      </c>
      <c r="P24" s="27">
        <f t="shared" si="6"/>
        <v>0</v>
      </c>
      <c r="Q24" s="28">
        <f t="shared" si="14"/>
        <v>0</v>
      </c>
      <c r="R24" s="28">
        <f t="shared" si="15"/>
        <v>0</v>
      </c>
      <c r="S24" s="28">
        <f t="shared" si="16"/>
        <v>0</v>
      </c>
    </row>
    <row r="25" spans="1:250" ht="21.75" customHeight="1" x14ac:dyDescent="0.25">
      <c r="A25" s="18" t="s">
        <v>53</v>
      </c>
      <c r="B25" s="19" t="s">
        <v>54</v>
      </c>
      <c r="C25" s="20">
        <v>704</v>
      </c>
      <c r="D25" s="21">
        <v>0</v>
      </c>
      <c r="E25" s="20">
        <v>704</v>
      </c>
      <c r="F25" s="20">
        <v>0</v>
      </c>
      <c r="G25" s="22">
        <f t="shared" si="11"/>
        <v>704</v>
      </c>
      <c r="H25" s="23">
        <v>704</v>
      </c>
      <c r="I25" s="21">
        <v>0</v>
      </c>
      <c r="J25" s="24">
        <v>0</v>
      </c>
      <c r="K25" s="45">
        <v>0</v>
      </c>
      <c r="L25" s="26">
        <f t="shared" si="17"/>
        <v>704</v>
      </c>
      <c r="M25" s="26">
        <f t="shared" si="12"/>
        <v>0</v>
      </c>
      <c r="N25" s="26">
        <f t="shared" si="13"/>
        <v>704</v>
      </c>
      <c r="O25" s="29">
        <v>0</v>
      </c>
      <c r="P25" s="27">
        <f t="shared" si="6"/>
        <v>0</v>
      </c>
      <c r="Q25" s="28">
        <f t="shared" si="14"/>
        <v>0</v>
      </c>
      <c r="R25" s="28">
        <f t="shared" si="15"/>
        <v>0</v>
      </c>
      <c r="S25" s="28">
        <f t="shared" si="16"/>
        <v>0</v>
      </c>
    </row>
    <row r="26" spans="1:250" ht="21.75" customHeight="1" x14ac:dyDescent="0.25">
      <c r="A26" s="18" t="s">
        <v>55</v>
      </c>
      <c r="B26" s="19" t="s">
        <v>56</v>
      </c>
      <c r="C26" s="20">
        <v>48360</v>
      </c>
      <c r="D26" s="21">
        <v>0</v>
      </c>
      <c r="E26" s="20">
        <f>SUM(C26+D26)</f>
        <v>48360</v>
      </c>
      <c r="F26" s="20">
        <f>2000+1000-25000</f>
        <v>-22000</v>
      </c>
      <c r="G26" s="22">
        <f t="shared" si="11"/>
        <v>26360</v>
      </c>
      <c r="H26" s="21">
        <f>SUM(3210+3200+4860+1000)</f>
        <v>12270</v>
      </c>
      <c r="I26" s="21">
        <v>0</v>
      </c>
      <c r="J26" s="31">
        <f>SUM(2714.08+1638.66+1651.01+1610.86+2029.96)</f>
        <v>9644.57</v>
      </c>
      <c r="K26" s="45">
        <f>4352.74+1651.01+1610.86+2029.96</f>
        <v>9644.57</v>
      </c>
      <c r="L26" s="26">
        <f t="shared" si="17"/>
        <v>2625.4300000000003</v>
      </c>
      <c r="M26" s="26">
        <f t="shared" si="12"/>
        <v>14090</v>
      </c>
      <c r="N26" s="26">
        <f t="shared" si="13"/>
        <v>16715.43</v>
      </c>
      <c r="O26" s="29">
        <f>2714.08+1638.66+3261.87</f>
        <v>7614.61</v>
      </c>
      <c r="P26" s="27">
        <f t="shared" si="6"/>
        <v>2029.96</v>
      </c>
      <c r="Q26" s="28">
        <f t="shared" si="14"/>
        <v>0.78602852485737573</v>
      </c>
      <c r="R26" s="28">
        <f t="shared" si="15"/>
        <v>0.36587898330804247</v>
      </c>
      <c r="S26" s="28">
        <f t="shared" si="16"/>
        <v>0.36587898330804247</v>
      </c>
    </row>
    <row r="27" spans="1:250" ht="21.75" customHeight="1" x14ac:dyDescent="0.25">
      <c r="A27" s="18" t="s">
        <v>57</v>
      </c>
      <c r="B27" s="19" t="s">
        <v>58</v>
      </c>
      <c r="C27" s="20">
        <v>40400</v>
      </c>
      <c r="D27" s="21">
        <v>0</v>
      </c>
      <c r="E27" s="20">
        <f>SUM(C27+D27)</f>
        <v>40400</v>
      </c>
      <c r="F27" s="20">
        <f>500-25000</f>
        <v>-24500</v>
      </c>
      <c r="G27" s="22">
        <f t="shared" si="11"/>
        <v>15900</v>
      </c>
      <c r="H27" s="21">
        <f>SUM(5299+500+5939)</f>
        <v>11738</v>
      </c>
      <c r="I27" s="21">
        <v>0</v>
      </c>
      <c r="J27" s="31">
        <f>SUM(3214.4+1430+1418.74+1407.12+1436.44)</f>
        <v>8906.6999999999989</v>
      </c>
      <c r="K27" s="45">
        <f>4644.4+1418.74+1419.4+1424.16</f>
        <v>8906.6999999999989</v>
      </c>
      <c r="L27" s="26">
        <f t="shared" si="17"/>
        <v>2831.3000000000011</v>
      </c>
      <c r="M27" s="26">
        <f t="shared" si="12"/>
        <v>4162</v>
      </c>
      <c r="N27" s="26">
        <f t="shared" si="13"/>
        <v>6993.3000000000011</v>
      </c>
      <c r="O27" s="29">
        <f>3214.4+1430+2825.86+1436.44</f>
        <v>8906.7000000000007</v>
      </c>
      <c r="P27" s="27">
        <f t="shared" si="6"/>
        <v>-1.8189894035458565E-12</v>
      </c>
      <c r="Q27" s="28">
        <f t="shared" si="14"/>
        <v>0.75879195774407893</v>
      </c>
      <c r="R27" s="28">
        <f t="shared" si="15"/>
        <v>0.56016981132075461</v>
      </c>
      <c r="S27" s="28">
        <f t="shared" si="16"/>
        <v>0.56016981132075461</v>
      </c>
    </row>
    <row r="28" spans="1:250" ht="21.75" customHeight="1" x14ac:dyDescent="0.25">
      <c r="A28" s="30" t="s">
        <v>59</v>
      </c>
      <c r="B28" s="19" t="s">
        <v>60</v>
      </c>
      <c r="C28" s="21">
        <v>29828</v>
      </c>
      <c r="D28" s="21">
        <v>0</v>
      </c>
      <c r="E28" s="20">
        <f>SUM(C28+D28)</f>
        <v>29828</v>
      </c>
      <c r="F28" s="20">
        <f>1000-6773</f>
        <v>-5773</v>
      </c>
      <c r="G28" s="22">
        <f t="shared" si="11"/>
        <v>24055</v>
      </c>
      <c r="H28" s="21">
        <f>SUM(1093+983+21979)</f>
        <v>24055</v>
      </c>
      <c r="I28" s="21">
        <v>0</v>
      </c>
      <c r="J28" s="24">
        <f>SUM(1075.2)</f>
        <v>1075.2</v>
      </c>
      <c r="K28" s="45">
        <v>1075.2</v>
      </c>
      <c r="L28" s="26">
        <f t="shared" si="17"/>
        <v>22979.8</v>
      </c>
      <c r="M28" s="26">
        <f t="shared" si="12"/>
        <v>0</v>
      </c>
      <c r="N28" s="26">
        <f t="shared" si="13"/>
        <v>22979.8</v>
      </c>
      <c r="O28" s="29">
        <v>448</v>
      </c>
      <c r="P28" s="27">
        <f t="shared" si="6"/>
        <v>627.20000000000005</v>
      </c>
      <c r="Q28" s="28">
        <f t="shared" si="14"/>
        <v>4.4697568073165661E-2</v>
      </c>
      <c r="R28" s="28">
        <f t="shared" si="15"/>
        <v>4.4697568073165661E-2</v>
      </c>
      <c r="S28" s="28">
        <f t="shared" si="16"/>
        <v>4.4697568073165661E-2</v>
      </c>
    </row>
    <row r="29" spans="1:250" ht="21.75" customHeight="1" x14ac:dyDescent="0.25">
      <c r="A29" s="30">
        <v>117</v>
      </c>
      <c r="B29" s="19" t="s">
        <v>61</v>
      </c>
      <c r="C29" s="21">
        <v>12448</v>
      </c>
      <c r="D29" s="21">
        <v>0</v>
      </c>
      <c r="E29" s="20">
        <f>SUM(C29+D29)</f>
        <v>12448</v>
      </c>
      <c r="F29" s="20">
        <f>-2000-8714</f>
        <v>-10714</v>
      </c>
      <c r="G29" s="22">
        <f t="shared" si="11"/>
        <v>1734</v>
      </c>
      <c r="H29" s="21">
        <f>SUM(3734-2000)</f>
        <v>1734</v>
      </c>
      <c r="I29" s="21">
        <v>0</v>
      </c>
      <c r="J29" s="31">
        <v>1733.4</v>
      </c>
      <c r="K29" s="45">
        <f>(1733.4)</f>
        <v>1733.4</v>
      </c>
      <c r="L29" s="26">
        <f t="shared" si="17"/>
        <v>0.59999999999990905</v>
      </c>
      <c r="M29" s="26">
        <f t="shared" si="12"/>
        <v>0</v>
      </c>
      <c r="N29" s="26">
        <f t="shared" si="13"/>
        <v>0.59999999999990905</v>
      </c>
      <c r="O29" s="29">
        <f>722.25+144.45</f>
        <v>866.7</v>
      </c>
      <c r="P29" s="27">
        <f t="shared" si="6"/>
        <v>866.7</v>
      </c>
      <c r="Q29" s="28">
        <f t="shared" si="14"/>
        <v>0.99965397923875443</v>
      </c>
      <c r="R29" s="28">
        <f t="shared" si="15"/>
        <v>0.99965397923875443</v>
      </c>
      <c r="S29" s="28">
        <f t="shared" si="16"/>
        <v>0.99965397923875443</v>
      </c>
    </row>
    <row r="30" spans="1:250" ht="21.75" customHeight="1" x14ac:dyDescent="0.25">
      <c r="A30" s="30" t="s">
        <v>62</v>
      </c>
      <c r="B30" s="33" t="s">
        <v>63</v>
      </c>
      <c r="C30" s="21">
        <v>42440</v>
      </c>
      <c r="D30" s="21">
        <v>0</v>
      </c>
      <c r="E30" s="21">
        <v>42440</v>
      </c>
      <c r="F30" s="20">
        <v>-1000</v>
      </c>
      <c r="G30" s="22">
        <f t="shared" si="11"/>
        <v>41440</v>
      </c>
      <c r="H30" s="23">
        <f>SUM(24000+440-1000+18000)</f>
        <v>41440</v>
      </c>
      <c r="I30" s="21">
        <v>0</v>
      </c>
      <c r="J30" s="24">
        <v>0</v>
      </c>
      <c r="K30" s="45">
        <f>23440+6000</f>
        <v>29440</v>
      </c>
      <c r="L30" s="26">
        <f t="shared" si="17"/>
        <v>12000</v>
      </c>
      <c r="M30" s="26">
        <f t="shared" si="12"/>
        <v>0</v>
      </c>
      <c r="N30" s="26">
        <f t="shared" si="13"/>
        <v>12000</v>
      </c>
      <c r="O30" s="29">
        <v>0</v>
      </c>
      <c r="P30" s="27">
        <f t="shared" si="6"/>
        <v>29440</v>
      </c>
      <c r="Q30" s="28">
        <f t="shared" si="14"/>
        <v>0.71042471042471045</v>
      </c>
      <c r="R30" s="28">
        <f t="shared" si="15"/>
        <v>0</v>
      </c>
      <c r="S30" s="28">
        <f t="shared" si="16"/>
        <v>0.71042471042471045</v>
      </c>
    </row>
    <row r="31" spans="1:250" ht="21.75" customHeight="1" x14ac:dyDescent="0.25">
      <c r="A31" s="30">
        <v>131</v>
      </c>
      <c r="B31" s="33" t="s">
        <v>64</v>
      </c>
      <c r="C31" s="21">
        <v>0</v>
      </c>
      <c r="D31" s="21">
        <v>0</v>
      </c>
      <c r="E31" s="21">
        <v>0</v>
      </c>
      <c r="F31" s="20">
        <v>2173</v>
      </c>
      <c r="G31" s="22">
        <f t="shared" si="11"/>
        <v>2173</v>
      </c>
      <c r="H31" s="23">
        <f>SUM(2173)</f>
        <v>2173</v>
      </c>
      <c r="I31" s="21">
        <v>0</v>
      </c>
      <c r="J31" s="24">
        <v>0</v>
      </c>
      <c r="K31" s="45">
        <v>0</v>
      </c>
      <c r="L31" s="26">
        <f t="shared" si="17"/>
        <v>2173</v>
      </c>
      <c r="M31" s="26">
        <f t="shared" si="12"/>
        <v>0</v>
      </c>
      <c r="N31" s="26">
        <f t="shared" si="13"/>
        <v>2173</v>
      </c>
      <c r="O31" s="29">
        <v>0</v>
      </c>
      <c r="P31" s="27">
        <f t="shared" si="6"/>
        <v>0</v>
      </c>
      <c r="Q31" s="28">
        <f t="shared" si="14"/>
        <v>0</v>
      </c>
      <c r="R31" s="28">
        <f t="shared" si="15"/>
        <v>0</v>
      </c>
      <c r="S31" s="28">
        <f t="shared" si="16"/>
        <v>0</v>
      </c>
    </row>
    <row r="32" spans="1:250" ht="21.75" customHeight="1" x14ac:dyDescent="0.25">
      <c r="A32" s="18" t="s">
        <v>65</v>
      </c>
      <c r="B32" s="19" t="s">
        <v>66</v>
      </c>
      <c r="C32" s="20">
        <v>20221</v>
      </c>
      <c r="D32" s="21">
        <v>0</v>
      </c>
      <c r="E32" s="20">
        <v>20221</v>
      </c>
      <c r="F32" s="20">
        <v>7000</v>
      </c>
      <c r="G32" s="22">
        <f t="shared" si="11"/>
        <v>27221</v>
      </c>
      <c r="H32" s="23">
        <f>SUM(7000+10100)</f>
        <v>17100</v>
      </c>
      <c r="I32" s="21">
        <v>0</v>
      </c>
      <c r="J32" s="24">
        <v>0</v>
      </c>
      <c r="K32" s="45">
        <v>17100</v>
      </c>
      <c r="L32" s="26">
        <f t="shared" si="17"/>
        <v>0</v>
      </c>
      <c r="M32" s="26">
        <f t="shared" si="12"/>
        <v>10121</v>
      </c>
      <c r="N32" s="26">
        <f t="shared" si="13"/>
        <v>10121</v>
      </c>
      <c r="O32" s="21">
        <v>0</v>
      </c>
      <c r="P32" s="27">
        <f t="shared" si="6"/>
        <v>17100</v>
      </c>
      <c r="Q32" s="28">
        <f t="shared" si="14"/>
        <v>1</v>
      </c>
      <c r="R32" s="28">
        <f t="shared" si="15"/>
        <v>0</v>
      </c>
      <c r="S32" s="28">
        <f t="shared" si="16"/>
        <v>0.62819146982109397</v>
      </c>
    </row>
    <row r="33" spans="1:19" ht="21.75" customHeight="1" x14ac:dyDescent="0.25">
      <c r="A33" s="18">
        <v>141</v>
      </c>
      <c r="B33" s="19" t="s">
        <v>67</v>
      </c>
      <c r="C33" s="21">
        <v>0</v>
      </c>
      <c r="D33" s="21">
        <v>0</v>
      </c>
      <c r="E33" s="21">
        <v>0</v>
      </c>
      <c r="F33" s="20">
        <v>2450</v>
      </c>
      <c r="G33" s="22">
        <f t="shared" si="11"/>
        <v>2450</v>
      </c>
      <c r="H33" s="23">
        <f>SUM(2450)</f>
        <v>2450</v>
      </c>
      <c r="I33" s="21">
        <v>0</v>
      </c>
      <c r="J33" s="24">
        <v>1137</v>
      </c>
      <c r="K33" s="45">
        <v>1142</v>
      </c>
      <c r="L33" s="26">
        <f t="shared" si="17"/>
        <v>1308</v>
      </c>
      <c r="M33" s="26">
        <f t="shared" si="12"/>
        <v>0</v>
      </c>
      <c r="N33" s="26">
        <f t="shared" si="13"/>
        <v>1308</v>
      </c>
      <c r="O33" s="21">
        <v>468</v>
      </c>
      <c r="P33" s="27">
        <f t="shared" si="6"/>
        <v>674</v>
      </c>
      <c r="Q33" s="28">
        <f t="shared" si="14"/>
        <v>0.46612244897959182</v>
      </c>
      <c r="R33" s="28">
        <f t="shared" si="15"/>
        <v>0.46408163265306124</v>
      </c>
      <c r="S33" s="28">
        <f t="shared" si="16"/>
        <v>0.46612244897959182</v>
      </c>
    </row>
    <row r="34" spans="1:19" ht="21.75" customHeight="1" x14ac:dyDescent="0.25">
      <c r="A34" s="18" t="s">
        <v>68</v>
      </c>
      <c r="B34" s="19" t="s">
        <v>69</v>
      </c>
      <c r="C34" s="20">
        <v>31765</v>
      </c>
      <c r="D34" s="21">
        <v>0</v>
      </c>
      <c r="E34" s="20">
        <v>31765</v>
      </c>
      <c r="F34" s="20">
        <v>0</v>
      </c>
      <c r="G34" s="22">
        <f t="shared" si="11"/>
        <v>31765</v>
      </c>
      <c r="H34" s="23">
        <f>SUM(10000+11765)</f>
        <v>21765</v>
      </c>
      <c r="I34" s="21">
        <v>0</v>
      </c>
      <c r="J34" s="24">
        <v>0</v>
      </c>
      <c r="K34" s="45">
        <v>2000</v>
      </c>
      <c r="L34" s="26">
        <f t="shared" si="17"/>
        <v>19765</v>
      </c>
      <c r="M34" s="26">
        <f t="shared" si="12"/>
        <v>10000</v>
      </c>
      <c r="N34" s="26">
        <f t="shared" si="13"/>
        <v>29765</v>
      </c>
      <c r="O34" s="29">
        <v>0</v>
      </c>
      <c r="P34" s="27">
        <f t="shared" si="6"/>
        <v>2000</v>
      </c>
      <c r="Q34" s="28">
        <f t="shared" si="14"/>
        <v>9.1890650126349643E-2</v>
      </c>
      <c r="R34" s="28">
        <f t="shared" si="15"/>
        <v>0</v>
      </c>
      <c r="S34" s="28">
        <f t="shared" si="16"/>
        <v>6.2962379977963168E-2</v>
      </c>
    </row>
    <row r="35" spans="1:19" ht="21.75" customHeight="1" x14ac:dyDescent="0.25">
      <c r="A35" s="30" t="s">
        <v>70</v>
      </c>
      <c r="B35" s="19" t="s">
        <v>71</v>
      </c>
      <c r="C35" s="20">
        <v>13362</v>
      </c>
      <c r="D35" s="21">
        <v>0</v>
      </c>
      <c r="E35" s="20">
        <v>13362</v>
      </c>
      <c r="F35" s="20">
        <f>4000-4887</f>
        <v>-887</v>
      </c>
      <c r="G35" s="22">
        <f t="shared" si="11"/>
        <v>12475</v>
      </c>
      <c r="H35" s="23">
        <f>SUM(1000+7000-4887)</f>
        <v>3113</v>
      </c>
      <c r="I35" s="21">
        <v>0</v>
      </c>
      <c r="J35" s="31">
        <v>492</v>
      </c>
      <c r="K35" s="45">
        <v>549</v>
      </c>
      <c r="L35" s="26">
        <f t="shared" si="17"/>
        <v>2564</v>
      </c>
      <c r="M35" s="26">
        <f t="shared" si="12"/>
        <v>9362</v>
      </c>
      <c r="N35" s="26">
        <f t="shared" si="13"/>
        <v>11926</v>
      </c>
      <c r="O35" s="29">
        <v>15</v>
      </c>
      <c r="P35" s="27">
        <f t="shared" si="6"/>
        <v>534</v>
      </c>
      <c r="Q35" s="28">
        <f t="shared" si="14"/>
        <v>0.17635721169290075</v>
      </c>
      <c r="R35" s="28">
        <f t="shared" si="15"/>
        <v>3.9438877755511019E-2</v>
      </c>
      <c r="S35" s="28">
        <f t="shared" si="16"/>
        <v>4.4008016032064126E-2</v>
      </c>
    </row>
    <row r="36" spans="1:19" ht="21.75" customHeight="1" x14ac:dyDescent="0.25">
      <c r="A36" s="30">
        <v>153</v>
      </c>
      <c r="B36" s="19" t="s">
        <v>72</v>
      </c>
      <c r="C36" s="21">
        <v>0</v>
      </c>
      <c r="D36" s="21">
        <v>0</v>
      </c>
      <c r="E36" s="21">
        <v>0</v>
      </c>
      <c r="F36" s="20">
        <v>3000</v>
      </c>
      <c r="G36" s="22">
        <f t="shared" si="11"/>
        <v>3000</v>
      </c>
      <c r="H36" s="23">
        <f>SUM(3000)</f>
        <v>3000</v>
      </c>
      <c r="I36" s="21">
        <v>0</v>
      </c>
      <c r="J36" s="31">
        <v>0</v>
      </c>
      <c r="K36" s="45">
        <v>0</v>
      </c>
      <c r="L36" s="26">
        <f t="shared" si="17"/>
        <v>3000</v>
      </c>
      <c r="M36" s="26">
        <f t="shared" si="12"/>
        <v>0</v>
      </c>
      <c r="N36" s="26">
        <f t="shared" si="13"/>
        <v>3000</v>
      </c>
      <c r="O36" s="29">
        <v>0</v>
      </c>
      <c r="P36" s="27">
        <f t="shared" si="6"/>
        <v>0</v>
      </c>
      <c r="Q36" s="28">
        <f t="shared" si="14"/>
        <v>0</v>
      </c>
      <c r="R36" s="28">
        <f t="shared" si="15"/>
        <v>0</v>
      </c>
      <c r="S36" s="28">
        <f t="shared" si="16"/>
        <v>0</v>
      </c>
    </row>
    <row r="37" spans="1:19" ht="21.75" customHeight="1" x14ac:dyDescent="0.25">
      <c r="A37" s="30">
        <v>154</v>
      </c>
      <c r="B37" s="19" t="s">
        <v>73</v>
      </c>
      <c r="C37" s="21">
        <v>0</v>
      </c>
      <c r="D37" s="21">
        <v>0</v>
      </c>
      <c r="E37" s="21">
        <v>0</v>
      </c>
      <c r="F37" s="20">
        <v>1000</v>
      </c>
      <c r="G37" s="22">
        <f t="shared" si="11"/>
        <v>1000</v>
      </c>
      <c r="H37" s="23">
        <f>SUM(1000)</f>
        <v>1000</v>
      </c>
      <c r="I37" s="21">
        <v>0</v>
      </c>
      <c r="J37" s="31">
        <v>170.66</v>
      </c>
      <c r="K37" s="45">
        <v>175.66</v>
      </c>
      <c r="L37" s="26">
        <f t="shared" si="17"/>
        <v>824.34</v>
      </c>
      <c r="M37" s="26">
        <f t="shared" si="12"/>
        <v>0</v>
      </c>
      <c r="N37" s="26">
        <f t="shared" si="13"/>
        <v>824.34</v>
      </c>
      <c r="O37" s="29">
        <v>0</v>
      </c>
      <c r="P37" s="27">
        <f t="shared" si="6"/>
        <v>175.66</v>
      </c>
      <c r="Q37" s="28">
        <f t="shared" si="14"/>
        <v>0.17565999999999998</v>
      </c>
      <c r="R37" s="28">
        <f t="shared" si="15"/>
        <v>0.17066000000000001</v>
      </c>
      <c r="S37" s="28">
        <f t="shared" si="16"/>
        <v>0.17565999999999998</v>
      </c>
    </row>
    <row r="38" spans="1:19" ht="21.75" customHeight="1" x14ac:dyDescent="0.25">
      <c r="A38" s="18" t="s">
        <v>74</v>
      </c>
      <c r="B38" s="19" t="s">
        <v>75</v>
      </c>
      <c r="C38" s="20">
        <v>8735</v>
      </c>
      <c r="D38" s="21">
        <v>0</v>
      </c>
      <c r="E38" s="20">
        <v>8735</v>
      </c>
      <c r="F38" s="20">
        <v>-1774</v>
      </c>
      <c r="G38" s="22">
        <f t="shared" si="11"/>
        <v>6961</v>
      </c>
      <c r="H38" s="23">
        <f>SUM(2621+605)</f>
        <v>3226</v>
      </c>
      <c r="I38" s="21">
        <v>0</v>
      </c>
      <c r="J38" s="24">
        <f>379.75+1343.43</f>
        <v>1723.18</v>
      </c>
      <c r="K38" s="45">
        <v>1723.18</v>
      </c>
      <c r="L38" s="26">
        <f t="shared" si="17"/>
        <v>1502.82</v>
      </c>
      <c r="M38" s="26">
        <f t="shared" si="12"/>
        <v>3735</v>
      </c>
      <c r="N38" s="26">
        <f t="shared" si="13"/>
        <v>5237.82</v>
      </c>
      <c r="O38" s="29">
        <v>0</v>
      </c>
      <c r="P38" s="27">
        <f t="shared" si="6"/>
        <v>1723.18</v>
      </c>
      <c r="Q38" s="28">
        <f t="shared" si="14"/>
        <v>0.53415375077495353</v>
      </c>
      <c r="R38" s="28">
        <f t="shared" si="15"/>
        <v>0.24754776612555668</v>
      </c>
      <c r="S38" s="28">
        <f t="shared" si="16"/>
        <v>0.24754776612555668</v>
      </c>
    </row>
    <row r="39" spans="1:19" ht="21.75" customHeight="1" x14ac:dyDescent="0.25">
      <c r="A39" s="18">
        <v>165</v>
      </c>
      <c r="B39" s="19" t="s">
        <v>76</v>
      </c>
      <c r="C39" s="21">
        <v>0</v>
      </c>
      <c r="D39" s="21">
        <v>0</v>
      </c>
      <c r="E39" s="21">
        <v>0</v>
      </c>
      <c r="F39" s="20">
        <f>25965-9844</f>
        <v>16121</v>
      </c>
      <c r="G39" s="22">
        <f t="shared" si="11"/>
        <v>16121</v>
      </c>
      <c r="H39" s="23">
        <f>SUM(20115+5850-9844)</f>
        <v>16121</v>
      </c>
      <c r="I39" s="21">
        <v>0</v>
      </c>
      <c r="J39" s="31">
        <f>SUM(13060.53+2058.1+518.95+16.05)</f>
        <v>15653.630000000001</v>
      </c>
      <c r="K39" s="25">
        <f>15118.63+518.95+433.35</f>
        <v>16070.93</v>
      </c>
      <c r="L39" s="26">
        <f t="shared" si="17"/>
        <v>50.069999999999709</v>
      </c>
      <c r="M39" s="26">
        <f t="shared" si="12"/>
        <v>0</v>
      </c>
      <c r="N39" s="26">
        <f t="shared" si="13"/>
        <v>50.069999999999709</v>
      </c>
      <c r="O39" s="29">
        <f>2431.46+1215.73+1107.45+1107.45</f>
        <v>5862.09</v>
      </c>
      <c r="P39" s="27">
        <f t="shared" si="6"/>
        <v>10208.84</v>
      </c>
      <c r="Q39" s="28">
        <f t="shared" si="14"/>
        <v>0.99689411326840771</v>
      </c>
      <c r="R39" s="28">
        <f t="shared" si="15"/>
        <v>0.97100862229390239</v>
      </c>
      <c r="S39" s="28">
        <f t="shared" si="16"/>
        <v>0.99689411326840771</v>
      </c>
    </row>
    <row r="40" spans="1:19" ht="21.75" customHeight="1" x14ac:dyDescent="0.25">
      <c r="A40" s="18" t="s">
        <v>77</v>
      </c>
      <c r="B40" s="121" t="s">
        <v>78</v>
      </c>
      <c r="C40" s="20">
        <v>6000</v>
      </c>
      <c r="D40" s="21">
        <v>0</v>
      </c>
      <c r="E40" s="20">
        <v>6000</v>
      </c>
      <c r="F40" s="20">
        <f>SUM(947+1920+9844)</f>
        <v>12711</v>
      </c>
      <c r="G40" s="22">
        <f t="shared" si="11"/>
        <v>18711</v>
      </c>
      <c r="H40" s="23">
        <f>SUM(6947+1920+9844)</f>
        <v>18711</v>
      </c>
      <c r="I40" s="21">
        <v>0</v>
      </c>
      <c r="J40" s="31">
        <f>SUM(5264.11+355.01+9330.4+92.3+529.27)</f>
        <v>15571.09</v>
      </c>
      <c r="K40" s="45">
        <f>5619.12+9330.4+165.34+529.27</f>
        <v>15644.130000000001</v>
      </c>
      <c r="L40" s="26">
        <f t="shared" si="17"/>
        <v>3066.869999999999</v>
      </c>
      <c r="M40" s="26">
        <f t="shared" si="12"/>
        <v>0</v>
      </c>
      <c r="N40" s="26">
        <f t="shared" si="13"/>
        <v>3066.869999999999</v>
      </c>
      <c r="O40" s="29">
        <f>1582.23+118.54</f>
        <v>1700.77</v>
      </c>
      <c r="P40" s="27">
        <f t="shared" si="6"/>
        <v>13943.36</v>
      </c>
      <c r="Q40" s="28">
        <f t="shared" si="14"/>
        <v>0.83609267275933952</v>
      </c>
      <c r="R40" s="28">
        <f t="shared" si="15"/>
        <v>0.83218908663353108</v>
      </c>
      <c r="S40" s="28">
        <f t="shared" si="16"/>
        <v>0.83609267275933952</v>
      </c>
    </row>
    <row r="41" spans="1:19" ht="21.75" customHeight="1" x14ac:dyDescent="0.25">
      <c r="A41" s="18" t="s">
        <v>79</v>
      </c>
      <c r="B41" s="19" t="s">
        <v>80</v>
      </c>
      <c r="C41" s="20">
        <v>36000</v>
      </c>
      <c r="D41" s="21">
        <v>0</v>
      </c>
      <c r="E41" s="20">
        <v>36000</v>
      </c>
      <c r="F41" s="20">
        <v>1015</v>
      </c>
      <c r="G41" s="22">
        <f t="shared" si="11"/>
        <v>37015</v>
      </c>
      <c r="H41" s="23">
        <f>SUM(46800-10800+1015)</f>
        <v>37015</v>
      </c>
      <c r="I41" s="21">
        <v>0</v>
      </c>
      <c r="J41" s="31">
        <v>36000</v>
      </c>
      <c r="K41" s="45">
        <f>(36000)</f>
        <v>36000</v>
      </c>
      <c r="L41" s="26">
        <f t="shared" si="17"/>
        <v>1015</v>
      </c>
      <c r="M41" s="26">
        <f t="shared" si="12"/>
        <v>0</v>
      </c>
      <c r="N41" s="26">
        <f t="shared" si="13"/>
        <v>1015</v>
      </c>
      <c r="O41" s="29">
        <f>9000+6000+3000</f>
        <v>18000</v>
      </c>
      <c r="P41" s="27">
        <f t="shared" si="6"/>
        <v>18000</v>
      </c>
      <c r="Q41" s="28">
        <f t="shared" si="14"/>
        <v>0.97257868431716876</v>
      </c>
      <c r="R41" s="28">
        <f t="shared" si="15"/>
        <v>0.97257868431716876</v>
      </c>
      <c r="S41" s="28">
        <f t="shared" si="16"/>
        <v>0.97257868431716876</v>
      </c>
    </row>
    <row r="42" spans="1:19" ht="21.75" customHeight="1" x14ac:dyDescent="0.25">
      <c r="A42" s="18" t="s">
        <v>81</v>
      </c>
      <c r="B42" s="19" t="s">
        <v>82</v>
      </c>
      <c r="C42" s="20">
        <v>3000</v>
      </c>
      <c r="D42" s="21">
        <v>0</v>
      </c>
      <c r="E42" s="20">
        <v>3000</v>
      </c>
      <c r="F42" s="20">
        <v>0</v>
      </c>
      <c r="G42" s="22">
        <f t="shared" si="11"/>
        <v>3000</v>
      </c>
      <c r="H42" s="23">
        <f>SUM(1500)</f>
        <v>1500</v>
      </c>
      <c r="I42" s="21">
        <v>0</v>
      </c>
      <c r="J42" s="46">
        <v>0</v>
      </c>
      <c r="K42" s="45">
        <v>0</v>
      </c>
      <c r="L42" s="26">
        <f t="shared" si="17"/>
        <v>1500</v>
      </c>
      <c r="M42" s="26">
        <f t="shared" si="12"/>
        <v>1500</v>
      </c>
      <c r="N42" s="26">
        <f t="shared" si="13"/>
        <v>3000</v>
      </c>
      <c r="O42" s="29">
        <v>0</v>
      </c>
      <c r="P42" s="27">
        <f t="shared" si="6"/>
        <v>0</v>
      </c>
      <c r="Q42" s="28">
        <f t="shared" si="14"/>
        <v>0</v>
      </c>
      <c r="R42" s="28">
        <f t="shared" si="15"/>
        <v>0</v>
      </c>
      <c r="S42" s="28">
        <f t="shared" si="16"/>
        <v>0</v>
      </c>
    </row>
    <row r="43" spans="1:19" ht="21.75" customHeight="1" x14ac:dyDescent="0.25">
      <c r="A43" s="30" t="s">
        <v>83</v>
      </c>
      <c r="B43" s="19" t="s">
        <v>84</v>
      </c>
      <c r="C43" s="21">
        <v>2631</v>
      </c>
      <c r="D43" s="21">
        <v>0</v>
      </c>
      <c r="E43" s="21">
        <v>2631</v>
      </c>
      <c r="F43" s="20">
        <f>-2000+4419</f>
        <v>2419</v>
      </c>
      <c r="G43" s="22">
        <f t="shared" si="11"/>
        <v>5050</v>
      </c>
      <c r="H43" s="23">
        <f>SUM(2631-2000+4419)</f>
        <v>5050</v>
      </c>
      <c r="I43" s="21">
        <v>0</v>
      </c>
      <c r="J43" s="46">
        <f>95.71+17.12+138.78</f>
        <v>251.61</v>
      </c>
      <c r="K43" s="45">
        <f>95.71+17.12+166.28</f>
        <v>279.11</v>
      </c>
      <c r="L43" s="26">
        <f t="shared" si="17"/>
        <v>4770.8900000000003</v>
      </c>
      <c r="M43" s="26">
        <f t="shared" si="12"/>
        <v>0</v>
      </c>
      <c r="N43" s="26">
        <f t="shared" si="13"/>
        <v>4770.8900000000003</v>
      </c>
      <c r="O43" s="29">
        <v>0</v>
      </c>
      <c r="P43" s="27">
        <f t="shared" si="6"/>
        <v>279.11</v>
      </c>
      <c r="Q43" s="28">
        <f t="shared" si="14"/>
        <v>5.5269306930693075E-2</v>
      </c>
      <c r="R43" s="28">
        <f t="shared" si="15"/>
        <v>4.9823762376237625E-2</v>
      </c>
      <c r="S43" s="28">
        <f t="shared" si="16"/>
        <v>5.5269306930693075E-2</v>
      </c>
    </row>
    <row r="44" spans="1:19" ht="21.75" customHeight="1" x14ac:dyDescent="0.25">
      <c r="A44" s="30">
        <v>185</v>
      </c>
      <c r="B44" s="19" t="s">
        <v>85</v>
      </c>
      <c r="C44" s="21">
        <v>0</v>
      </c>
      <c r="D44" s="21">
        <v>0</v>
      </c>
      <c r="E44" s="21">
        <v>0</v>
      </c>
      <c r="F44" s="20">
        <v>1945</v>
      </c>
      <c r="G44" s="22">
        <f t="shared" si="11"/>
        <v>1945</v>
      </c>
      <c r="H44" s="23">
        <v>1945</v>
      </c>
      <c r="I44" s="21">
        <v>0</v>
      </c>
      <c r="J44" s="46">
        <v>80.25</v>
      </c>
      <c r="K44" s="45">
        <v>80.25</v>
      </c>
      <c r="L44" s="26">
        <f t="shared" si="17"/>
        <v>1864.75</v>
      </c>
      <c r="M44" s="26">
        <f t="shared" si="12"/>
        <v>0</v>
      </c>
      <c r="N44" s="26">
        <f t="shared" si="13"/>
        <v>1864.75</v>
      </c>
      <c r="O44" s="29">
        <v>0</v>
      </c>
      <c r="P44" s="27">
        <f t="shared" si="6"/>
        <v>80.25</v>
      </c>
      <c r="Q44" s="28">
        <f t="shared" si="14"/>
        <v>4.125964010282776E-2</v>
      </c>
      <c r="R44" s="28">
        <f t="shared" si="15"/>
        <v>4.125964010282776E-2</v>
      </c>
      <c r="S44" s="28">
        <f t="shared" si="16"/>
        <v>4.125964010282776E-2</v>
      </c>
    </row>
    <row r="45" spans="1:19" ht="21.75" customHeight="1" x14ac:dyDescent="0.25">
      <c r="A45" s="30">
        <v>192</v>
      </c>
      <c r="B45" s="19" t="s">
        <v>86</v>
      </c>
      <c r="C45" s="21">
        <v>0</v>
      </c>
      <c r="D45" s="21">
        <v>0</v>
      </c>
      <c r="E45" s="21">
        <v>0</v>
      </c>
      <c r="F45" s="20">
        <v>2000</v>
      </c>
      <c r="G45" s="22">
        <f t="shared" si="11"/>
        <v>2000</v>
      </c>
      <c r="H45" s="23">
        <f>SUM(2000)</f>
        <v>2000</v>
      </c>
      <c r="I45" s="21">
        <v>0</v>
      </c>
      <c r="J45" s="46">
        <v>40.65</v>
      </c>
      <c r="K45" s="45">
        <v>40.65</v>
      </c>
      <c r="L45" s="26">
        <f t="shared" si="17"/>
        <v>1959.35</v>
      </c>
      <c r="M45" s="26">
        <f t="shared" si="12"/>
        <v>0</v>
      </c>
      <c r="N45" s="26">
        <f t="shared" si="13"/>
        <v>1959.35</v>
      </c>
      <c r="O45" s="29">
        <v>0</v>
      </c>
      <c r="P45" s="27">
        <f t="shared" si="6"/>
        <v>40.65</v>
      </c>
      <c r="Q45" s="28">
        <f t="shared" si="14"/>
        <v>2.0324999999999999E-2</v>
      </c>
      <c r="R45" s="28">
        <f t="shared" si="15"/>
        <v>2.0324999999999999E-2</v>
      </c>
      <c r="S45" s="28">
        <f t="shared" si="16"/>
        <v>2.0324999999999999E-2</v>
      </c>
    </row>
    <row r="46" spans="1:19" ht="21.75" customHeight="1" x14ac:dyDescent="0.25">
      <c r="A46" s="30">
        <v>195</v>
      </c>
      <c r="B46" s="19" t="s">
        <v>87</v>
      </c>
      <c r="C46" s="21">
        <v>0</v>
      </c>
      <c r="D46" s="21">
        <v>0</v>
      </c>
      <c r="E46" s="21">
        <v>0</v>
      </c>
      <c r="F46" s="20">
        <v>330</v>
      </c>
      <c r="G46" s="22">
        <f t="shared" si="11"/>
        <v>330</v>
      </c>
      <c r="H46" s="23">
        <v>330</v>
      </c>
      <c r="I46" s="21">
        <v>0</v>
      </c>
      <c r="J46" s="31">
        <v>317</v>
      </c>
      <c r="K46" s="25">
        <v>317</v>
      </c>
      <c r="L46" s="26">
        <f t="shared" si="17"/>
        <v>13</v>
      </c>
      <c r="M46" s="26">
        <f t="shared" si="12"/>
        <v>0</v>
      </c>
      <c r="N46" s="26">
        <f t="shared" si="13"/>
        <v>13</v>
      </c>
      <c r="O46" s="29">
        <v>317</v>
      </c>
      <c r="P46" s="27">
        <f t="shared" si="6"/>
        <v>0</v>
      </c>
      <c r="Q46" s="28">
        <f t="shared" si="14"/>
        <v>0.96060606060606057</v>
      </c>
      <c r="R46" s="28">
        <f t="shared" si="15"/>
        <v>0.96060606060606057</v>
      </c>
      <c r="S46" s="28">
        <f t="shared" si="16"/>
        <v>0.96060606060606057</v>
      </c>
    </row>
    <row r="47" spans="1:19" ht="21.75" customHeight="1" x14ac:dyDescent="0.25">
      <c r="A47" s="30">
        <v>196</v>
      </c>
      <c r="B47" s="19" t="s">
        <v>88</v>
      </c>
      <c r="C47" s="21">
        <v>0</v>
      </c>
      <c r="D47" s="21">
        <v>0</v>
      </c>
      <c r="E47" s="21">
        <v>0</v>
      </c>
      <c r="F47" s="20">
        <v>84</v>
      </c>
      <c r="G47" s="22">
        <f t="shared" si="11"/>
        <v>84</v>
      </c>
      <c r="H47" s="23">
        <v>84</v>
      </c>
      <c r="I47" s="21">
        <v>0</v>
      </c>
      <c r="J47" s="31">
        <v>69</v>
      </c>
      <c r="K47" s="25">
        <v>69</v>
      </c>
      <c r="L47" s="26">
        <f t="shared" si="17"/>
        <v>15</v>
      </c>
      <c r="M47" s="26">
        <f t="shared" si="12"/>
        <v>0</v>
      </c>
      <c r="N47" s="26">
        <f t="shared" si="13"/>
        <v>15</v>
      </c>
      <c r="O47" s="29">
        <v>69</v>
      </c>
      <c r="P47" s="27">
        <f t="shared" si="6"/>
        <v>0</v>
      </c>
      <c r="Q47" s="28">
        <f t="shared" si="14"/>
        <v>0.8214285714285714</v>
      </c>
      <c r="R47" s="28">
        <f t="shared" si="15"/>
        <v>0.8214285714285714</v>
      </c>
      <c r="S47" s="28">
        <f t="shared" si="16"/>
        <v>0.8214285714285714</v>
      </c>
    </row>
    <row r="48" spans="1:19" ht="22.5" customHeight="1" x14ac:dyDescent="0.25">
      <c r="A48" s="18">
        <v>197</v>
      </c>
      <c r="B48" s="19" t="s">
        <v>89</v>
      </c>
      <c r="C48" s="21">
        <v>0</v>
      </c>
      <c r="D48" s="21">
        <v>0</v>
      </c>
      <c r="E48" s="21">
        <v>0</v>
      </c>
      <c r="F48" s="20">
        <v>1615</v>
      </c>
      <c r="G48" s="22">
        <f t="shared" si="11"/>
        <v>1615</v>
      </c>
      <c r="H48" s="23">
        <f>SUM(800+15+800)</f>
        <v>1615</v>
      </c>
      <c r="I48" s="21">
        <v>0</v>
      </c>
      <c r="J48" s="24">
        <f>SUM(1600-800)</f>
        <v>800</v>
      </c>
      <c r="K48" s="45">
        <f>1600-800</f>
        <v>800</v>
      </c>
      <c r="L48" s="26">
        <f t="shared" si="17"/>
        <v>815</v>
      </c>
      <c r="M48" s="26">
        <f t="shared" si="12"/>
        <v>0</v>
      </c>
      <c r="N48" s="26">
        <f t="shared" si="13"/>
        <v>815</v>
      </c>
      <c r="O48" s="21">
        <v>800</v>
      </c>
      <c r="P48" s="27">
        <f t="shared" si="6"/>
        <v>0</v>
      </c>
      <c r="Q48" s="28">
        <f t="shared" si="14"/>
        <v>0.49535603715170279</v>
      </c>
      <c r="R48" s="28">
        <f t="shared" si="15"/>
        <v>0.49535603715170279</v>
      </c>
      <c r="S48" s="28">
        <f t="shared" si="16"/>
        <v>0.49535603715170279</v>
      </c>
    </row>
    <row r="49" spans="1:250" ht="21.75" customHeight="1" thickBot="1" x14ac:dyDescent="0.3">
      <c r="A49" s="18">
        <v>199</v>
      </c>
      <c r="B49" s="19" t="s">
        <v>90</v>
      </c>
      <c r="C49" s="21">
        <v>0</v>
      </c>
      <c r="D49" s="21">
        <v>0</v>
      </c>
      <c r="E49" s="21">
        <v>0</v>
      </c>
      <c r="F49" s="20">
        <v>79</v>
      </c>
      <c r="G49" s="22">
        <f t="shared" si="11"/>
        <v>79</v>
      </c>
      <c r="H49" s="23">
        <v>79</v>
      </c>
      <c r="I49" s="21">
        <v>0</v>
      </c>
      <c r="J49" s="46">
        <v>0</v>
      </c>
      <c r="K49" s="45">
        <v>0</v>
      </c>
      <c r="L49" s="26">
        <f t="shared" si="17"/>
        <v>79</v>
      </c>
      <c r="M49" s="26">
        <f t="shared" si="12"/>
        <v>0</v>
      </c>
      <c r="N49" s="26">
        <f t="shared" si="13"/>
        <v>79</v>
      </c>
      <c r="O49" s="29">
        <v>0</v>
      </c>
      <c r="P49" s="27">
        <f t="shared" si="6"/>
        <v>0</v>
      </c>
      <c r="Q49" s="28">
        <f t="shared" si="14"/>
        <v>0</v>
      </c>
      <c r="R49" s="28">
        <f t="shared" si="15"/>
        <v>0</v>
      </c>
      <c r="S49" s="28">
        <f t="shared" si="16"/>
        <v>0</v>
      </c>
    </row>
    <row r="50" spans="1:250" s="4" customFormat="1" ht="34.5" customHeight="1" thickBot="1" x14ac:dyDescent="0.3">
      <c r="A50" s="34">
        <v>2</v>
      </c>
      <c r="B50" s="35" t="s">
        <v>91</v>
      </c>
      <c r="C50" s="36">
        <f t="shared" ref="C50:P50" si="18">SUM(C51:C79)</f>
        <v>54867</v>
      </c>
      <c r="D50" s="36">
        <f t="shared" si="18"/>
        <v>0</v>
      </c>
      <c r="E50" s="36">
        <f t="shared" si="18"/>
        <v>54867</v>
      </c>
      <c r="F50" s="36">
        <f t="shared" si="18"/>
        <v>20861</v>
      </c>
      <c r="G50" s="37">
        <f t="shared" si="18"/>
        <v>75728</v>
      </c>
      <c r="H50" s="38">
        <f t="shared" si="18"/>
        <v>60914</v>
      </c>
      <c r="I50" s="36">
        <f t="shared" si="18"/>
        <v>0</v>
      </c>
      <c r="J50" s="39">
        <f t="shared" si="18"/>
        <v>18221.480000000003</v>
      </c>
      <c r="K50" s="36">
        <f t="shared" si="18"/>
        <v>24491.510000000006</v>
      </c>
      <c r="L50" s="36">
        <f t="shared" si="18"/>
        <v>36422.490000000005</v>
      </c>
      <c r="M50" s="36">
        <f t="shared" si="18"/>
        <v>14814</v>
      </c>
      <c r="N50" s="36">
        <f t="shared" si="18"/>
        <v>51236.49</v>
      </c>
      <c r="O50" s="36">
        <f t="shared" si="18"/>
        <v>7094.6199999999981</v>
      </c>
      <c r="P50" s="37">
        <f t="shared" si="18"/>
        <v>17396.89</v>
      </c>
      <c r="Q50" s="41">
        <f>SUM(K50/H50*100%)</f>
        <v>0.40206701250943966</v>
      </c>
      <c r="R50" s="47">
        <f>SUM(J50/G50*100%)</f>
        <v>0.24061747306148323</v>
      </c>
      <c r="S50" s="47">
        <f>SUM(K50/G50*100%)</f>
        <v>0.32341419290090861</v>
      </c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2"/>
      <c r="DC50" s="42"/>
      <c r="DD50" s="42"/>
      <c r="DE50" s="42"/>
      <c r="DF50" s="42"/>
      <c r="DG50" s="42"/>
      <c r="DH50" s="42"/>
      <c r="DI50" s="42"/>
      <c r="DJ50" s="42"/>
      <c r="DK50" s="42"/>
      <c r="DL50" s="42"/>
      <c r="DM50" s="42"/>
      <c r="DN50" s="42"/>
      <c r="DO50" s="42"/>
      <c r="DP50" s="42"/>
      <c r="DQ50" s="42"/>
      <c r="DR50" s="42"/>
      <c r="DS50" s="42"/>
      <c r="DT50" s="42"/>
      <c r="DU50" s="42"/>
      <c r="DV50" s="42"/>
      <c r="DW50" s="42"/>
      <c r="DX50" s="42"/>
      <c r="DY50" s="42"/>
      <c r="DZ50" s="42"/>
      <c r="EA50" s="42"/>
      <c r="EB50" s="42"/>
      <c r="EC50" s="42"/>
      <c r="ED50" s="42"/>
      <c r="EE50" s="42"/>
      <c r="EF50" s="42"/>
      <c r="EG50" s="42"/>
      <c r="EH50" s="42"/>
      <c r="EI50" s="42"/>
      <c r="EJ50" s="42"/>
      <c r="EK50" s="42"/>
      <c r="EL50" s="42"/>
      <c r="EM50" s="42"/>
      <c r="EN50" s="42"/>
      <c r="EO50" s="42"/>
      <c r="EP50" s="42"/>
      <c r="EQ50" s="42"/>
      <c r="ER50" s="42"/>
      <c r="ES50" s="42"/>
      <c r="ET50" s="42"/>
      <c r="EU50" s="42"/>
      <c r="EV50" s="42"/>
      <c r="EW50" s="42"/>
      <c r="EX50" s="42"/>
      <c r="EY50" s="42"/>
      <c r="EZ50" s="42"/>
      <c r="FA50" s="42"/>
      <c r="FB50" s="42"/>
      <c r="FC50" s="42"/>
      <c r="FD50" s="42"/>
      <c r="FE50" s="42"/>
      <c r="FF50" s="42"/>
      <c r="FG50" s="42"/>
      <c r="FH50" s="42"/>
      <c r="FI50" s="42"/>
      <c r="FJ50" s="42"/>
      <c r="FK50" s="42"/>
      <c r="FL50" s="42"/>
      <c r="FM50" s="42"/>
      <c r="FN50" s="42"/>
      <c r="FO50" s="42"/>
      <c r="FP50" s="42"/>
      <c r="FQ50" s="42"/>
      <c r="FR50" s="42"/>
      <c r="FS50" s="42"/>
      <c r="FT50" s="42"/>
      <c r="FU50" s="42"/>
      <c r="FV50" s="42"/>
      <c r="FW50" s="42"/>
      <c r="FX50" s="42"/>
      <c r="FY50" s="42"/>
      <c r="FZ50" s="42"/>
      <c r="GA50" s="42"/>
      <c r="GB50" s="42"/>
      <c r="GC50" s="42"/>
      <c r="GD50" s="42"/>
      <c r="GE50" s="42"/>
      <c r="GF50" s="42"/>
      <c r="GG50" s="42"/>
      <c r="GH50" s="42"/>
      <c r="GI50" s="42"/>
      <c r="GJ50" s="42"/>
      <c r="GK50" s="42"/>
      <c r="GL50" s="42"/>
      <c r="GM50" s="42"/>
      <c r="GN50" s="42"/>
      <c r="GO50" s="42"/>
      <c r="GP50" s="42"/>
      <c r="GQ50" s="42"/>
      <c r="GR50" s="42"/>
      <c r="GS50" s="42"/>
      <c r="GT50" s="42"/>
      <c r="GU50" s="42"/>
      <c r="GV50" s="42"/>
      <c r="GW50" s="42"/>
      <c r="GX50" s="42"/>
      <c r="GY50" s="42"/>
      <c r="GZ50" s="42"/>
      <c r="HA50" s="42"/>
      <c r="HB50" s="42"/>
      <c r="HC50" s="42"/>
      <c r="HD50" s="42"/>
      <c r="HE50" s="42"/>
      <c r="HF50" s="42"/>
      <c r="HG50" s="42"/>
      <c r="HH50" s="42"/>
      <c r="HI50" s="42"/>
      <c r="HJ50" s="42"/>
      <c r="HK50" s="42"/>
      <c r="HL50" s="42"/>
      <c r="HM50" s="42"/>
      <c r="HN50" s="42"/>
      <c r="HO50" s="42"/>
      <c r="HP50" s="42"/>
      <c r="HQ50" s="42"/>
      <c r="HR50" s="42"/>
      <c r="HS50" s="42"/>
      <c r="HT50" s="42"/>
      <c r="HU50" s="42"/>
      <c r="HV50" s="42"/>
      <c r="HW50" s="42"/>
      <c r="HX50" s="42"/>
      <c r="HY50" s="42"/>
      <c r="HZ50" s="42"/>
      <c r="IA50" s="42"/>
      <c r="IB50" s="42"/>
      <c r="IC50" s="42"/>
      <c r="ID50" s="42"/>
      <c r="IE50" s="42"/>
      <c r="IF50" s="42"/>
      <c r="IG50" s="42"/>
      <c r="IH50" s="42"/>
      <c r="II50" s="42"/>
      <c r="IJ50" s="42"/>
      <c r="IK50" s="42"/>
      <c r="IL50" s="42"/>
      <c r="IM50" s="42"/>
      <c r="IN50" s="42"/>
      <c r="IO50" s="42"/>
      <c r="IP50" s="42"/>
    </row>
    <row r="51" spans="1:250" ht="22.5" customHeight="1" x14ac:dyDescent="0.25">
      <c r="A51" s="30" t="s">
        <v>92</v>
      </c>
      <c r="B51" s="19" t="s">
        <v>93</v>
      </c>
      <c r="C51" s="20">
        <v>732</v>
      </c>
      <c r="D51" s="21">
        <v>0</v>
      </c>
      <c r="E51" s="20">
        <v>732</v>
      </c>
      <c r="F51" s="20">
        <v>2461</v>
      </c>
      <c r="G51" s="22">
        <f>SUM(E51+F51)</f>
        <v>3193</v>
      </c>
      <c r="H51" s="23">
        <f>SUM(732-39+2500)</f>
        <v>3193</v>
      </c>
      <c r="I51" s="21">
        <v>0</v>
      </c>
      <c r="J51" s="31">
        <f>SUM(693+630)</f>
        <v>1323</v>
      </c>
      <c r="K51" s="45">
        <f>(693+630)</f>
        <v>1323</v>
      </c>
      <c r="L51" s="26">
        <f>SUM(H51-K51)</f>
        <v>1870</v>
      </c>
      <c r="M51" s="26">
        <f>SUM(G51-H51)</f>
        <v>0</v>
      </c>
      <c r="N51" s="26">
        <f>SUM(-I51+L51+M51)</f>
        <v>1870</v>
      </c>
      <c r="O51" s="29">
        <v>0</v>
      </c>
      <c r="P51" s="27">
        <f>SUM(K51-O51)</f>
        <v>1323</v>
      </c>
      <c r="Q51" s="28">
        <f t="shared" ref="Q51:Q101" si="19">SUM(K51/H51*100%)</f>
        <v>0.41434387723144378</v>
      </c>
      <c r="R51" s="28">
        <f t="shared" ref="R51:R94" si="20">SUM(J51/G51*100%)</f>
        <v>0.41434387723144378</v>
      </c>
      <c r="S51" s="28">
        <f t="shared" ref="S51:S91" si="21">SUM(K51/G51*100%)</f>
        <v>0.41434387723144378</v>
      </c>
    </row>
    <row r="52" spans="1:250" ht="22.5" customHeight="1" x14ac:dyDescent="0.25">
      <c r="A52" s="30">
        <v>211</v>
      </c>
      <c r="B52" s="19" t="s">
        <v>94</v>
      </c>
      <c r="C52" s="21">
        <v>0</v>
      </c>
      <c r="D52" s="21">
        <v>0</v>
      </c>
      <c r="E52" s="21">
        <v>0</v>
      </c>
      <c r="F52" s="20">
        <v>39</v>
      </c>
      <c r="G52" s="22">
        <f>SUM(E52+F52)</f>
        <v>39</v>
      </c>
      <c r="H52" s="23">
        <v>39</v>
      </c>
      <c r="I52" s="21">
        <v>0</v>
      </c>
      <c r="J52" s="46">
        <v>0</v>
      </c>
      <c r="K52" s="45">
        <v>0</v>
      </c>
      <c r="L52" s="26">
        <f>SUM(H52-K52)</f>
        <v>39</v>
      </c>
      <c r="M52" s="26">
        <f>SUM(G52-H52)</f>
        <v>0</v>
      </c>
      <c r="N52" s="26">
        <f>SUM(-I52+L52+M52)</f>
        <v>39</v>
      </c>
      <c r="O52" s="29">
        <v>0</v>
      </c>
      <c r="P52" s="27">
        <f>SUM(K52-O52)</f>
        <v>0</v>
      </c>
      <c r="Q52" s="28">
        <f t="shared" si="19"/>
        <v>0</v>
      </c>
      <c r="R52" s="28">
        <f t="shared" si="20"/>
        <v>0</v>
      </c>
      <c r="S52" s="28">
        <f t="shared" si="21"/>
        <v>0</v>
      </c>
    </row>
    <row r="53" spans="1:250" ht="22.5" customHeight="1" x14ac:dyDescent="0.25">
      <c r="A53" s="30">
        <v>212</v>
      </c>
      <c r="B53" s="19" t="s">
        <v>95</v>
      </c>
      <c r="C53" s="21">
        <v>0</v>
      </c>
      <c r="D53" s="21">
        <v>0</v>
      </c>
      <c r="E53" s="21">
        <v>0</v>
      </c>
      <c r="F53" s="20">
        <v>55</v>
      </c>
      <c r="G53" s="22">
        <f>SUM(E53+F53)</f>
        <v>55</v>
      </c>
      <c r="H53" s="23">
        <v>55</v>
      </c>
      <c r="I53" s="21">
        <v>0</v>
      </c>
      <c r="J53" s="46">
        <v>0</v>
      </c>
      <c r="K53" s="45">
        <v>0</v>
      </c>
      <c r="L53" s="26">
        <f>SUM(H53-K53)</f>
        <v>55</v>
      </c>
      <c r="M53" s="26">
        <f>SUM(G53-H53)</f>
        <v>0</v>
      </c>
      <c r="N53" s="26">
        <f>SUM(-I53+L53+M53)</f>
        <v>55</v>
      </c>
      <c r="O53" s="29">
        <v>0</v>
      </c>
      <c r="P53" s="27">
        <f>SUM(K53-O53)</f>
        <v>0</v>
      </c>
      <c r="Q53" s="28">
        <f t="shared" si="19"/>
        <v>0</v>
      </c>
      <c r="R53" s="28">
        <f t="shared" si="20"/>
        <v>0</v>
      </c>
      <c r="S53" s="28">
        <f t="shared" si="21"/>
        <v>0</v>
      </c>
    </row>
    <row r="54" spans="1:250" ht="22.5" customHeight="1" x14ac:dyDescent="0.25">
      <c r="A54" s="30">
        <v>214</v>
      </c>
      <c r="B54" s="19" t="s">
        <v>96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4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8">
        <v>0</v>
      </c>
      <c r="R54" s="28">
        <v>0</v>
      </c>
      <c r="S54" s="28">
        <v>0</v>
      </c>
    </row>
    <row r="55" spans="1:250" ht="22.5" customHeight="1" x14ac:dyDescent="0.25">
      <c r="A55" s="30" t="s">
        <v>97</v>
      </c>
      <c r="B55" s="19" t="s">
        <v>98</v>
      </c>
      <c r="C55" s="20">
        <v>10000</v>
      </c>
      <c r="D55" s="21">
        <v>0</v>
      </c>
      <c r="E55" s="20">
        <v>10000</v>
      </c>
      <c r="F55" s="20">
        <f>SUM(-4802-2698)</f>
        <v>-7500</v>
      </c>
      <c r="G55" s="22">
        <f t="shared" ref="G55:G79" si="22">SUM(E55+F55)</f>
        <v>2500</v>
      </c>
      <c r="H55" s="23">
        <f>SUM(5198-2698)</f>
        <v>2500</v>
      </c>
      <c r="I55" s="21">
        <v>0</v>
      </c>
      <c r="J55" s="31">
        <f>SUM(2500)</f>
        <v>2500</v>
      </c>
      <c r="K55" s="45">
        <f>(3000-500)</f>
        <v>2500</v>
      </c>
      <c r="L55" s="26">
        <f t="shared" ref="L55:L79" si="23">SUM(H55-K55)</f>
        <v>0</v>
      </c>
      <c r="M55" s="26">
        <f t="shared" ref="M55:M79" si="24">SUM(G55-H55)</f>
        <v>0</v>
      </c>
      <c r="N55" s="26">
        <f t="shared" ref="N55:N79" si="25">SUM(-I55+L55+M55)</f>
        <v>0</v>
      </c>
      <c r="O55" s="29">
        <v>1231.33</v>
      </c>
      <c r="P55" s="27">
        <f t="shared" ref="P55:P79" si="26">SUM(K55-O55)</f>
        <v>1268.67</v>
      </c>
      <c r="Q55" s="28">
        <f t="shared" si="19"/>
        <v>1</v>
      </c>
      <c r="R55" s="28">
        <f t="shared" si="20"/>
        <v>1</v>
      </c>
      <c r="S55" s="28">
        <f t="shared" si="21"/>
        <v>1</v>
      </c>
    </row>
    <row r="56" spans="1:250" ht="22.5" customHeight="1" x14ac:dyDescent="0.25">
      <c r="A56" s="30" t="s">
        <v>99</v>
      </c>
      <c r="B56" s="19" t="s">
        <v>100</v>
      </c>
      <c r="C56" s="20">
        <v>12120</v>
      </c>
      <c r="D56" s="21">
        <v>0</v>
      </c>
      <c r="E56" s="20">
        <v>12120</v>
      </c>
      <c r="F56" s="20">
        <v>-9620</v>
      </c>
      <c r="G56" s="22">
        <f t="shared" si="22"/>
        <v>2500</v>
      </c>
      <c r="H56" s="23">
        <f>SUM(12120-9620)</f>
        <v>2500</v>
      </c>
      <c r="I56" s="21">
        <v>0</v>
      </c>
      <c r="J56" s="31">
        <f>SUM(2500)</f>
        <v>2500</v>
      </c>
      <c r="K56" s="45">
        <f>(3000-500)</f>
        <v>2500</v>
      </c>
      <c r="L56" s="26">
        <f t="shared" si="23"/>
        <v>0</v>
      </c>
      <c r="M56" s="26">
        <f t="shared" si="24"/>
        <v>0</v>
      </c>
      <c r="N56" s="26">
        <f t="shared" si="25"/>
        <v>0</v>
      </c>
      <c r="O56" s="29">
        <v>702.69</v>
      </c>
      <c r="P56" s="27">
        <f t="shared" si="26"/>
        <v>1797.31</v>
      </c>
      <c r="Q56" s="28">
        <f t="shared" si="19"/>
        <v>1</v>
      </c>
      <c r="R56" s="28">
        <f t="shared" si="20"/>
        <v>1</v>
      </c>
      <c r="S56" s="28">
        <f t="shared" si="21"/>
        <v>1</v>
      </c>
    </row>
    <row r="57" spans="1:250" ht="22.5" customHeight="1" x14ac:dyDescent="0.25">
      <c r="A57" s="18" t="s">
        <v>101</v>
      </c>
      <c r="B57" s="19" t="s">
        <v>102</v>
      </c>
      <c r="C57" s="20">
        <v>2117</v>
      </c>
      <c r="D57" s="21">
        <v>0</v>
      </c>
      <c r="E57" s="20">
        <v>2117</v>
      </c>
      <c r="F57" s="20">
        <v>0</v>
      </c>
      <c r="G57" s="22">
        <f t="shared" si="22"/>
        <v>2117</v>
      </c>
      <c r="H57" s="23">
        <f>SUM(2117)</f>
        <v>2117</v>
      </c>
      <c r="I57" s="21">
        <v>0</v>
      </c>
      <c r="J57" s="31">
        <f>SUM(47.72+49.22+40.66)</f>
        <v>137.6</v>
      </c>
      <c r="K57" s="45">
        <f>47.72+49.22+40.66</f>
        <v>137.6</v>
      </c>
      <c r="L57" s="26">
        <f t="shared" si="23"/>
        <v>1979.4</v>
      </c>
      <c r="M57" s="26">
        <f t="shared" si="24"/>
        <v>0</v>
      </c>
      <c r="N57" s="26">
        <f t="shared" si="25"/>
        <v>1979.4</v>
      </c>
      <c r="O57" s="29">
        <v>0</v>
      </c>
      <c r="P57" s="27">
        <f t="shared" si="26"/>
        <v>137.6</v>
      </c>
      <c r="Q57" s="28">
        <f t="shared" si="19"/>
        <v>6.4997638167217764E-2</v>
      </c>
      <c r="R57" s="28">
        <f t="shared" si="20"/>
        <v>6.4997638167217764E-2</v>
      </c>
      <c r="S57" s="28">
        <f t="shared" si="21"/>
        <v>6.4997638167217764E-2</v>
      </c>
    </row>
    <row r="58" spans="1:250" ht="22.5" customHeight="1" x14ac:dyDescent="0.25">
      <c r="A58" s="18">
        <v>231</v>
      </c>
      <c r="B58" s="19" t="s">
        <v>103</v>
      </c>
      <c r="C58" s="21">
        <v>0</v>
      </c>
      <c r="D58" s="21">
        <v>0</v>
      </c>
      <c r="E58" s="21">
        <v>0</v>
      </c>
      <c r="F58" s="20">
        <v>3000</v>
      </c>
      <c r="G58" s="22">
        <f t="shared" si="22"/>
        <v>3000</v>
      </c>
      <c r="H58" s="23">
        <f>SUM(3000)</f>
        <v>3000</v>
      </c>
      <c r="I58" s="21">
        <v>0</v>
      </c>
      <c r="J58" s="46">
        <v>722.79</v>
      </c>
      <c r="K58" s="45">
        <v>1722.79</v>
      </c>
      <c r="L58" s="26">
        <f t="shared" si="23"/>
        <v>1277.21</v>
      </c>
      <c r="M58" s="26">
        <f t="shared" si="24"/>
        <v>0</v>
      </c>
      <c r="N58" s="26">
        <f t="shared" si="25"/>
        <v>1277.21</v>
      </c>
      <c r="O58" s="29">
        <v>0</v>
      </c>
      <c r="P58" s="27">
        <f t="shared" si="26"/>
        <v>1722.79</v>
      </c>
      <c r="Q58" s="28">
        <f t="shared" si="19"/>
        <v>0.57426333333333335</v>
      </c>
      <c r="R58" s="28">
        <f t="shared" si="20"/>
        <v>0.24092999999999998</v>
      </c>
      <c r="S58" s="28">
        <f t="shared" si="21"/>
        <v>0.57426333333333335</v>
      </c>
    </row>
    <row r="59" spans="1:250" ht="22.5" customHeight="1" x14ac:dyDescent="0.25">
      <c r="A59" s="18" t="s">
        <v>104</v>
      </c>
      <c r="B59" s="19" t="s">
        <v>105</v>
      </c>
      <c r="C59" s="20">
        <v>5263</v>
      </c>
      <c r="D59" s="21">
        <v>0</v>
      </c>
      <c r="E59" s="20">
        <v>5263</v>
      </c>
      <c r="F59" s="20">
        <f>3000-2000+1000</f>
        <v>2000</v>
      </c>
      <c r="G59" s="22">
        <f t="shared" si="22"/>
        <v>7263</v>
      </c>
      <c r="H59" s="23">
        <f>SUM(5000-1000)</f>
        <v>4000</v>
      </c>
      <c r="I59" s="21">
        <v>0</v>
      </c>
      <c r="J59" s="31">
        <f>SUM(326.46+1259.18+139.09)</f>
        <v>1724.73</v>
      </c>
      <c r="K59" s="45">
        <f>326.46+1259.18+139.09</f>
        <v>1724.73</v>
      </c>
      <c r="L59" s="26">
        <f t="shared" si="23"/>
        <v>2275.27</v>
      </c>
      <c r="M59" s="26">
        <f t="shared" si="24"/>
        <v>3263</v>
      </c>
      <c r="N59" s="26">
        <f t="shared" si="25"/>
        <v>5538.27</v>
      </c>
      <c r="O59" s="29">
        <v>522.79999999999995</v>
      </c>
      <c r="P59" s="27">
        <f t="shared" si="26"/>
        <v>1201.93</v>
      </c>
      <c r="Q59" s="28">
        <f t="shared" si="19"/>
        <v>0.43118250000000002</v>
      </c>
      <c r="R59" s="28">
        <f t="shared" si="20"/>
        <v>0.23746798843453118</v>
      </c>
      <c r="S59" s="28">
        <f t="shared" si="21"/>
        <v>0.23746798843453118</v>
      </c>
    </row>
    <row r="60" spans="1:250" ht="22.5" customHeight="1" x14ac:dyDescent="0.25">
      <c r="A60" s="18">
        <v>239</v>
      </c>
      <c r="B60" s="19" t="s">
        <v>106</v>
      </c>
      <c r="C60" s="21">
        <v>0</v>
      </c>
      <c r="D60" s="21">
        <v>0</v>
      </c>
      <c r="E60" s="21">
        <v>0</v>
      </c>
      <c r="F60" s="20">
        <f>3187-1000</f>
        <v>2187</v>
      </c>
      <c r="G60" s="22">
        <f t="shared" si="22"/>
        <v>2187</v>
      </c>
      <c r="H60" s="23">
        <f>SUM(187+3000-1000)</f>
        <v>2187</v>
      </c>
      <c r="I60" s="21">
        <v>0</v>
      </c>
      <c r="J60" s="31">
        <f>SUM(186.18)</f>
        <v>186.18</v>
      </c>
      <c r="K60" s="45">
        <v>186.18</v>
      </c>
      <c r="L60" s="26">
        <f t="shared" si="23"/>
        <v>2000.82</v>
      </c>
      <c r="M60" s="26">
        <f t="shared" si="24"/>
        <v>0</v>
      </c>
      <c r="N60" s="26">
        <f t="shared" si="25"/>
        <v>2000.82</v>
      </c>
      <c r="O60" s="29">
        <v>186.18</v>
      </c>
      <c r="P60" s="27">
        <f t="shared" si="26"/>
        <v>0</v>
      </c>
      <c r="Q60" s="28">
        <f t="shared" si="19"/>
        <v>8.513031550068588E-2</v>
      </c>
      <c r="R60" s="28">
        <f t="shared" si="20"/>
        <v>8.513031550068588E-2</v>
      </c>
      <c r="S60" s="28">
        <f t="shared" si="21"/>
        <v>8.513031550068588E-2</v>
      </c>
    </row>
    <row r="61" spans="1:250" ht="22.5" customHeight="1" x14ac:dyDescent="0.25">
      <c r="A61" s="18">
        <v>242</v>
      </c>
      <c r="B61" s="19" t="s">
        <v>107</v>
      </c>
      <c r="C61" s="21">
        <v>0</v>
      </c>
      <c r="D61" s="21">
        <v>0</v>
      </c>
      <c r="E61" s="21">
        <v>0</v>
      </c>
      <c r="F61" s="20">
        <f>260+100</f>
        <v>360</v>
      </c>
      <c r="G61" s="22">
        <f t="shared" si="22"/>
        <v>360</v>
      </c>
      <c r="H61" s="23">
        <f>260+100</f>
        <v>360</v>
      </c>
      <c r="I61" s="21">
        <v>0</v>
      </c>
      <c r="J61" s="31">
        <v>259.54000000000002</v>
      </c>
      <c r="K61" s="45">
        <v>259.54000000000002</v>
      </c>
      <c r="L61" s="26">
        <f t="shared" si="23"/>
        <v>100.45999999999998</v>
      </c>
      <c r="M61" s="26">
        <f t="shared" si="24"/>
        <v>0</v>
      </c>
      <c r="N61" s="26">
        <f t="shared" si="25"/>
        <v>100.45999999999998</v>
      </c>
      <c r="O61" s="21">
        <v>259.54000000000002</v>
      </c>
      <c r="P61" s="27">
        <f t="shared" si="26"/>
        <v>0</v>
      </c>
      <c r="Q61" s="28">
        <f t="shared" si="19"/>
        <v>0.7209444444444445</v>
      </c>
      <c r="R61" s="28">
        <f t="shared" si="20"/>
        <v>0.7209444444444445</v>
      </c>
      <c r="S61" s="28">
        <f t="shared" si="21"/>
        <v>0.7209444444444445</v>
      </c>
    </row>
    <row r="62" spans="1:250" ht="22.5" customHeight="1" x14ac:dyDescent="0.25">
      <c r="A62" s="18" t="s">
        <v>108</v>
      </c>
      <c r="B62" s="19" t="s">
        <v>109</v>
      </c>
      <c r="C62" s="20">
        <v>2097</v>
      </c>
      <c r="D62" s="21">
        <v>0</v>
      </c>
      <c r="E62" s="20">
        <v>2097</v>
      </c>
      <c r="F62" s="20">
        <v>35</v>
      </c>
      <c r="G62" s="22">
        <f t="shared" si="22"/>
        <v>2132</v>
      </c>
      <c r="H62" s="23">
        <f>SUM(132)</f>
        <v>132</v>
      </c>
      <c r="I62" s="21">
        <v>0</v>
      </c>
      <c r="J62" s="24">
        <f>SUM(130)</f>
        <v>130</v>
      </c>
      <c r="K62" s="45">
        <v>130</v>
      </c>
      <c r="L62" s="26">
        <f t="shared" si="23"/>
        <v>2</v>
      </c>
      <c r="M62" s="26">
        <f t="shared" si="24"/>
        <v>2000</v>
      </c>
      <c r="N62" s="26">
        <f t="shared" si="25"/>
        <v>2002</v>
      </c>
      <c r="O62" s="29">
        <v>130</v>
      </c>
      <c r="P62" s="27">
        <f t="shared" si="26"/>
        <v>0</v>
      </c>
      <c r="Q62" s="28">
        <f t="shared" si="19"/>
        <v>0.98484848484848486</v>
      </c>
      <c r="R62" s="28">
        <f t="shared" si="20"/>
        <v>6.097560975609756E-2</v>
      </c>
      <c r="S62" s="28">
        <f t="shared" si="21"/>
        <v>6.097560975609756E-2</v>
      </c>
    </row>
    <row r="63" spans="1:250" ht="22.5" customHeight="1" x14ac:dyDescent="0.25">
      <c r="A63" s="30" t="s">
        <v>110</v>
      </c>
      <c r="B63" s="19" t="s">
        <v>111</v>
      </c>
      <c r="C63" s="21">
        <v>0</v>
      </c>
      <c r="D63" s="21">
        <v>0</v>
      </c>
      <c r="E63" s="21">
        <v>0</v>
      </c>
      <c r="F63" s="20">
        <f>798+1570</f>
        <v>2368</v>
      </c>
      <c r="G63" s="22">
        <f t="shared" si="22"/>
        <v>2368</v>
      </c>
      <c r="H63" s="23">
        <f>SUM(766+32+1570)</f>
        <v>2368</v>
      </c>
      <c r="I63" s="21">
        <v>0</v>
      </c>
      <c r="J63" s="31">
        <f>SUM(765.8+31.95+1164.25-1104.65)</f>
        <v>857.34999999999991</v>
      </c>
      <c r="K63" s="45">
        <f>797.75+1164.25+59.6</f>
        <v>2021.6</v>
      </c>
      <c r="L63" s="26">
        <f t="shared" si="23"/>
        <v>346.40000000000009</v>
      </c>
      <c r="M63" s="26">
        <f t="shared" si="24"/>
        <v>0</v>
      </c>
      <c r="N63" s="26">
        <f t="shared" si="25"/>
        <v>346.40000000000009</v>
      </c>
      <c r="O63" s="29">
        <f>31.95+765.8</f>
        <v>797.75</v>
      </c>
      <c r="P63" s="27">
        <f t="shared" si="26"/>
        <v>1223.8499999999999</v>
      </c>
      <c r="Q63" s="28">
        <f t="shared" si="19"/>
        <v>0.85371621621621618</v>
      </c>
      <c r="R63" s="28">
        <f t="shared" si="20"/>
        <v>0.36205658783783778</v>
      </c>
      <c r="S63" s="28">
        <f t="shared" si="21"/>
        <v>0.85371621621621618</v>
      </c>
    </row>
    <row r="64" spans="1:250" ht="22.5" customHeight="1" x14ac:dyDescent="0.25">
      <c r="A64" s="18" t="s">
        <v>112</v>
      </c>
      <c r="B64" s="19" t="s">
        <v>113</v>
      </c>
      <c r="C64" s="20">
        <v>280</v>
      </c>
      <c r="D64" s="21">
        <v>0</v>
      </c>
      <c r="E64" s="20">
        <v>280</v>
      </c>
      <c r="F64" s="20">
        <v>10</v>
      </c>
      <c r="G64" s="22">
        <f t="shared" si="22"/>
        <v>290</v>
      </c>
      <c r="H64" s="23">
        <f>SUM(10)</f>
        <v>10</v>
      </c>
      <c r="I64" s="21">
        <v>0</v>
      </c>
      <c r="J64" s="31">
        <f>SUM(9.16)</f>
        <v>9.16</v>
      </c>
      <c r="K64" s="45">
        <v>9.16</v>
      </c>
      <c r="L64" s="26">
        <f t="shared" si="23"/>
        <v>0.83999999999999986</v>
      </c>
      <c r="M64" s="26">
        <f t="shared" si="24"/>
        <v>280</v>
      </c>
      <c r="N64" s="26">
        <f t="shared" si="25"/>
        <v>280.83999999999997</v>
      </c>
      <c r="O64" s="29">
        <v>9.15</v>
      </c>
      <c r="P64" s="27">
        <f t="shared" si="26"/>
        <v>9.9999999999997868E-3</v>
      </c>
      <c r="Q64" s="28">
        <f t="shared" si="19"/>
        <v>0.91600000000000004</v>
      </c>
      <c r="R64" s="28">
        <f t="shared" si="20"/>
        <v>3.1586206896551727E-2</v>
      </c>
      <c r="S64" s="28">
        <f t="shared" si="21"/>
        <v>3.1586206896551727E-2</v>
      </c>
    </row>
    <row r="65" spans="1:19" ht="22.5" customHeight="1" x14ac:dyDescent="0.25">
      <c r="A65" s="18" t="s">
        <v>114</v>
      </c>
      <c r="B65" s="19" t="s">
        <v>115</v>
      </c>
      <c r="C65" s="20">
        <v>1000</v>
      </c>
      <c r="D65" s="21">
        <v>0</v>
      </c>
      <c r="E65" s="20">
        <v>1000</v>
      </c>
      <c r="F65" s="20">
        <v>0</v>
      </c>
      <c r="G65" s="22">
        <f t="shared" si="22"/>
        <v>1000</v>
      </c>
      <c r="H65" s="23">
        <v>500</v>
      </c>
      <c r="I65" s="21">
        <v>0</v>
      </c>
      <c r="J65" s="31">
        <v>20.32</v>
      </c>
      <c r="K65" s="45">
        <v>40.64</v>
      </c>
      <c r="L65" s="26">
        <f t="shared" si="23"/>
        <v>459.36</v>
      </c>
      <c r="M65" s="26">
        <f t="shared" si="24"/>
        <v>500</v>
      </c>
      <c r="N65" s="26">
        <f t="shared" si="25"/>
        <v>959.36</v>
      </c>
      <c r="O65" s="29">
        <v>0</v>
      </c>
      <c r="P65" s="27">
        <f t="shared" si="26"/>
        <v>40.64</v>
      </c>
      <c r="Q65" s="28">
        <f t="shared" si="19"/>
        <v>8.1280000000000005E-2</v>
      </c>
      <c r="R65" s="28">
        <f t="shared" si="20"/>
        <v>2.0320000000000001E-2</v>
      </c>
      <c r="S65" s="28">
        <f t="shared" si="21"/>
        <v>4.0640000000000003E-2</v>
      </c>
    </row>
    <row r="66" spans="1:19" ht="22.5" customHeight="1" x14ac:dyDescent="0.25">
      <c r="A66" s="18" t="s">
        <v>116</v>
      </c>
      <c r="B66" s="19" t="s">
        <v>117</v>
      </c>
      <c r="C66" s="20">
        <v>1000</v>
      </c>
      <c r="D66" s="21">
        <v>0</v>
      </c>
      <c r="E66" s="20">
        <v>1000</v>
      </c>
      <c r="F66" s="20">
        <f>2000-76</f>
        <v>1924</v>
      </c>
      <c r="G66" s="22">
        <f t="shared" si="22"/>
        <v>2924</v>
      </c>
      <c r="H66" s="23">
        <f>SUM(2000-76+500)</f>
        <v>2424</v>
      </c>
      <c r="I66" s="21">
        <v>0</v>
      </c>
      <c r="J66" s="31">
        <v>106.93</v>
      </c>
      <c r="K66" s="45">
        <v>106.93</v>
      </c>
      <c r="L66" s="26">
        <f t="shared" si="23"/>
        <v>2317.0700000000002</v>
      </c>
      <c r="M66" s="26">
        <f t="shared" si="24"/>
        <v>500</v>
      </c>
      <c r="N66" s="26">
        <f t="shared" si="25"/>
        <v>2817.07</v>
      </c>
      <c r="O66" s="29">
        <v>0</v>
      </c>
      <c r="P66" s="27">
        <f t="shared" si="26"/>
        <v>106.93</v>
      </c>
      <c r="Q66" s="28">
        <f t="shared" si="19"/>
        <v>4.4113036303630365E-2</v>
      </c>
      <c r="R66" s="28">
        <f t="shared" si="20"/>
        <v>3.6569767441860468E-2</v>
      </c>
      <c r="S66" s="28">
        <f t="shared" si="21"/>
        <v>3.6569767441860468E-2</v>
      </c>
    </row>
    <row r="67" spans="1:19" ht="22.5" customHeight="1" x14ac:dyDescent="0.25">
      <c r="A67" s="18">
        <v>256</v>
      </c>
      <c r="B67" s="19" t="s">
        <v>118</v>
      </c>
      <c r="C67" s="21">
        <v>0</v>
      </c>
      <c r="D67" s="21">
        <v>0</v>
      </c>
      <c r="E67" s="21">
        <v>0</v>
      </c>
      <c r="F67" s="20">
        <f>2035-1000</f>
        <v>1035</v>
      </c>
      <c r="G67" s="22">
        <f t="shared" si="22"/>
        <v>1035</v>
      </c>
      <c r="H67" s="23">
        <f>SUM(2035-1000)</f>
        <v>1035</v>
      </c>
      <c r="I67" s="21">
        <v>0</v>
      </c>
      <c r="J67" s="31">
        <f>SUM(34.49+3.51)</f>
        <v>38</v>
      </c>
      <c r="K67" s="45">
        <f>34.49+7.02</f>
        <v>41.510000000000005</v>
      </c>
      <c r="L67" s="26">
        <f t="shared" si="23"/>
        <v>993.49</v>
      </c>
      <c r="M67" s="26">
        <f t="shared" si="24"/>
        <v>0</v>
      </c>
      <c r="N67" s="26">
        <f t="shared" si="25"/>
        <v>993.49</v>
      </c>
      <c r="O67" s="29">
        <v>34.49</v>
      </c>
      <c r="P67" s="27">
        <f t="shared" si="26"/>
        <v>7.0200000000000031</v>
      </c>
      <c r="Q67" s="28">
        <f t="shared" si="19"/>
        <v>4.0106280193236719E-2</v>
      </c>
      <c r="R67" s="28">
        <f t="shared" si="20"/>
        <v>3.6714975845410627E-2</v>
      </c>
      <c r="S67" s="28">
        <f t="shared" si="21"/>
        <v>4.0106280193236719E-2</v>
      </c>
    </row>
    <row r="68" spans="1:19" ht="22.5" customHeight="1" x14ac:dyDescent="0.25">
      <c r="A68" s="18">
        <v>259</v>
      </c>
      <c r="B68" s="19" t="s">
        <v>119</v>
      </c>
      <c r="C68" s="20">
        <v>1000</v>
      </c>
      <c r="D68" s="21">
        <v>0</v>
      </c>
      <c r="E68" s="20">
        <v>1000</v>
      </c>
      <c r="F68" s="20">
        <v>100</v>
      </c>
      <c r="G68" s="22">
        <f t="shared" si="22"/>
        <v>1100</v>
      </c>
      <c r="H68" s="23">
        <f>SUM(300-300+100+500)</f>
        <v>600</v>
      </c>
      <c r="I68" s="21">
        <v>0</v>
      </c>
      <c r="J68" s="31">
        <f>SUM(98.23)</f>
        <v>98.23</v>
      </c>
      <c r="K68" s="45">
        <v>98.23</v>
      </c>
      <c r="L68" s="26">
        <f t="shared" si="23"/>
        <v>501.77</v>
      </c>
      <c r="M68" s="26">
        <f t="shared" si="24"/>
        <v>500</v>
      </c>
      <c r="N68" s="26">
        <f t="shared" si="25"/>
        <v>1001.77</v>
      </c>
      <c r="O68" s="21">
        <v>98.23</v>
      </c>
      <c r="P68" s="27">
        <f t="shared" si="26"/>
        <v>0</v>
      </c>
      <c r="Q68" s="28">
        <f t="shared" si="19"/>
        <v>0.16371666666666668</v>
      </c>
      <c r="R68" s="28">
        <f t="shared" si="20"/>
        <v>8.9300000000000004E-2</v>
      </c>
      <c r="S68" s="28">
        <f t="shared" si="21"/>
        <v>8.9300000000000004E-2</v>
      </c>
    </row>
    <row r="69" spans="1:19" ht="22.5" customHeight="1" x14ac:dyDescent="0.25">
      <c r="A69" s="18" t="s">
        <v>120</v>
      </c>
      <c r="B69" s="19" t="s">
        <v>121</v>
      </c>
      <c r="C69" s="21">
        <v>0</v>
      </c>
      <c r="D69" s="21">
        <v>0</v>
      </c>
      <c r="E69" s="21">
        <v>0</v>
      </c>
      <c r="F69" s="20">
        <v>792</v>
      </c>
      <c r="G69" s="22">
        <f t="shared" si="22"/>
        <v>792</v>
      </c>
      <c r="H69" s="23">
        <v>792</v>
      </c>
      <c r="I69" s="21">
        <v>0</v>
      </c>
      <c r="J69" s="31">
        <f>SUM(791.8)</f>
        <v>791.8</v>
      </c>
      <c r="K69" s="45">
        <f>(791.8)</f>
        <v>791.8</v>
      </c>
      <c r="L69" s="26">
        <f t="shared" si="23"/>
        <v>0.20000000000004547</v>
      </c>
      <c r="M69" s="26">
        <f t="shared" si="24"/>
        <v>0</v>
      </c>
      <c r="N69" s="26">
        <f t="shared" si="25"/>
        <v>0.20000000000004547</v>
      </c>
      <c r="O69" s="29">
        <v>791.8</v>
      </c>
      <c r="P69" s="27">
        <f t="shared" si="26"/>
        <v>0</v>
      </c>
      <c r="Q69" s="28">
        <f t="shared" si="19"/>
        <v>0.99974747474747472</v>
      </c>
      <c r="R69" s="28">
        <f t="shared" si="20"/>
        <v>0.99974747474747472</v>
      </c>
      <c r="S69" s="28">
        <f t="shared" si="21"/>
        <v>0.99974747474747472</v>
      </c>
    </row>
    <row r="70" spans="1:19" ht="22.5" customHeight="1" x14ac:dyDescent="0.25">
      <c r="A70" s="18">
        <v>262</v>
      </c>
      <c r="B70" s="19" t="s">
        <v>122</v>
      </c>
      <c r="C70" s="21">
        <v>0</v>
      </c>
      <c r="D70" s="21">
        <v>0</v>
      </c>
      <c r="E70" s="21">
        <v>0</v>
      </c>
      <c r="F70" s="20">
        <v>267</v>
      </c>
      <c r="G70" s="22">
        <f t="shared" si="22"/>
        <v>267</v>
      </c>
      <c r="H70" s="23">
        <v>267</v>
      </c>
      <c r="I70" s="21">
        <v>0</v>
      </c>
      <c r="J70" s="46">
        <v>10.67</v>
      </c>
      <c r="K70" s="45">
        <v>21.34</v>
      </c>
      <c r="L70" s="26">
        <f t="shared" si="23"/>
        <v>245.66</v>
      </c>
      <c r="M70" s="26">
        <f t="shared" si="24"/>
        <v>0</v>
      </c>
      <c r="N70" s="26">
        <f t="shared" si="25"/>
        <v>245.66</v>
      </c>
      <c r="O70" s="29">
        <v>0</v>
      </c>
      <c r="P70" s="27">
        <f t="shared" si="26"/>
        <v>21.34</v>
      </c>
      <c r="Q70" s="28">
        <f t="shared" si="19"/>
        <v>7.9925093632958799E-2</v>
      </c>
      <c r="R70" s="28">
        <f t="shared" si="20"/>
        <v>3.99625468164794E-2</v>
      </c>
      <c r="S70" s="28">
        <f t="shared" si="21"/>
        <v>7.9925093632958799E-2</v>
      </c>
    </row>
    <row r="71" spans="1:19" ht="22.5" customHeight="1" x14ac:dyDescent="0.25">
      <c r="A71" s="30" t="s">
        <v>123</v>
      </c>
      <c r="B71" s="121" t="s">
        <v>124</v>
      </c>
      <c r="C71" s="20">
        <v>2501</v>
      </c>
      <c r="D71" s="21">
        <v>0</v>
      </c>
      <c r="E71" s="20">
        <v>2501</v>
      </c>
      <c r="F71" s="20">
        <v>6000</v>
      </c>
      <c r="G71" s="22">
        <f t="shared" si="22"/>
        <v>8501</v>
      </c>
      <c r="H71" s="23">
        <f>SUM(6501+499)</f>
        <v>7000</v>
      </c>
      <c r="I71" s="21">
        <v>0</v>
      </c>
      <c r="J71" s="31">
        <v>157.33000000000001</v>
      </c>
      <c r="K71" s="45">
        <v>157.33000000000001</v>
      </c>
      <c r="L71" s="26">
        <f t="shared" si="23"/>
        <v>6842.67</v>
      </c>
      <c r="M71" s="26">
        <f t="shared" si="24"/>
        <v>1501</v>
      </c>
      <c r="N71" s="26">
        <f t="shared" si="25"/>
        <v>8343.67</v>
      </c>
      <c r="O71" s="29">
        <v>0</v>
      </c>
      <c r="P71" s="27">
        <f t="shared" si="26"/>
        <v>157.33000000000001</v>
      </c>
      <c r="Q71" s="28">
        <f t="shared" si="19"/>
        <v>2.2475714285714286E-2</v>
      </c>
      <c r="R71" s="28">
        <f t="shared" si="20"/>
        <v>1.8507234443006705E-2</v>
      </c>
      <c r="S71" s="28">
        <f t="shared" si="21"/>
        <v>1.8507234443006705E-2</v>
      </c>
    </row>
    <row r="72" spans="1:19" ht="24.75" customHeight="1" x14ac:dyDescent="0.25">
      <c r="A72" s="18" t="s">
        <v>125</v>
      </c>
      <c r="B72" s="19" t="s">
        <v>126</v>
      </c>
      <c r="C72" s="21">
        <v>0</v>
      </c>
      <c r="D72" s="21">
        <v>0</v>
      </c>
      <c r="E72" s="21">
        <v>0</v>
      </c>
      <c r="F72" s="20">
        <v>3259</v>
      </c>
      <c r="G72" s="22">
        <f t="shared" si="22"/>
        <v>3259</v>
      </c>
      <c r="H72" s="23">
        <f>SUM(553+2706)</f>
        <v>3259</v>
      </c>
      <c r="I72" s="21">
        <v>0</v>
      </c>
      <c r="J72" s="31">
        <f>SUM(552.12+205.65+58.56)</f>
        <v>816.32999999999993</v>
      </c>
      <c r="K72" s="45">
        <f>757.77+58.56</f>
        <v>816.32999999999993</v>
      </c>
      <c r="L72" s="26">
        <f t="shared" si="23"/>
        <v>2442.67</v>
      </c>
      <c r="M72" s="26">
        <f t="shared" si="24"/>
        <v>0</v>
      </c>
      <c r="N72" s="26">
        <f t="shared" si="25"/>
        <v>2442.67</v>
      </c>
      <c r="O72" s="29">
        <f>615.25+70.62</f>
        <v>685.87</v>
      </c>
      <c r="P72" s="27">
        <f t="shared" si="26"/>
        <v>130.45999999999992</v>
      </c>
      <c r="Q72" s="28">
        <f t="shared" si="19"/>
        <v>0.25048481129180727</v>
      </c>
      <c r="R72" s="28">
        <f t="shared" si="20"/>
        <v>0.25048481129180727</v>
      </c>
      <c r="S72" s="28">
        <f t="shared" si="21"/>
        <v>0.25048481129180727</v>
      </c>
    </row>
    <row r="73" spans="1:19" ht="22.5" customHeight="1" x14ac:dyDescent="0.25">
      <c r="A73" s="18" t="s">
        <v>127</v>
      </c>
      <c r="B73" s="19" t="s">
        <v>128</v>
      </c>
      <c r="C73" s="20">
        <v>1000</v>
      </c>
      <c r="D73" s="21">
        <v>0</v>
      </c>
      <c r="E73" s="20">
        <v>1000</v>
      </c>
      <c r="F73" s="20">
        <v>200</v>
      </c>
      <c r="G73" s="22">
        <f t="shared" si="22"/>
        <v>1200</v>
      </c>
      <c r="H73" s="23">
        <f>SUM(700+250)</f>
        <v>950</v>
      </c>
      <c r="I73" s="21">
        <v>0</v>
      </c>
      <c r="J73" s="31">
        <v>0</v>
      </c>
      <c r="K73" s="45">
        <v>0</v>
      </c>
      <c r="L73" s="26">
        <f t="shared" si="23"/>
        <v>950</v>
      </c>
      <c r="M73" s="26">
        <f t="shared" si="24"/>
        <v>250</v>
      </c>
      <c r="N73" s="26">
        <f t="shared" si="25"/>
        <v>1200</v>
      </c>
      <c r="O73" s="29">
        <v>0</v>
      </c>
      <c r="P73" s="27">
        <f t="shared" si="26"/>
        <v>0</v>
      </c>
      <c r="Q73" s="28">
        <f t="shared" si="19"/>
        <v>0</v>
      </c>
      <c r="R73" s="28">
        <f t="shared" si="20"/>
        <v>0</v>
      </c>
      <c r="S73" s="28">
        <f t="shared" si="21"/>
        <v>0</v>
      </c>
    </row>
    <row r="74" spans="1:19" ht="22.5" customHeight="1" x14ac:dyDescent="0.25">
      <c r="A74" s="18" t="s">
        <v>129</v>
      </c>
      <c r="B74" s="19" t="s">
        <v>130</v>
      </c>
      <c r="C74" s="20">
        <v>237</v>
      </c>
      <c r="D74" s="21">
        <v>0</v>
      </c>
      <c r="E74" s="20">
        <v>237</v>
      </c>
      <c r="F74" s="20">
        <f>171+2000</f>
        <v>2171</v>
      </c>
      <c r="G74" s="22">
        <f t="shared" si="22"/>
        <v>2408</v>
      </c>
      <c r="H74" s="23">
        <f>SUM(237+171+2000)</f>
        <v>2408</v>
      </c>
      <c r="I74" s="21">
        <v>0</v>
      </c>
      <c r="J74" s="31">
        <f>406.19+1310.94-769.09</f>
        <v>948.04000000000008</v>
      </c>
      <c r="K74" s="45">
        <f>406.19+1310.94+541.85</f>
        <v>2258.98</v>
      </c>
      <c r="L74" s="26">
        <f t="shared" si="23"/>
        <v>149.01999999999998</v>
      </c>
      <c r="M74" s="26">
        <f t="shared" si="24"/>
        <v>0</v>
      </c>
      <c r="N74" s="26">
        <f t="shared" si="25"/>
        <v>149.01999999999998</v>
      </c>
      <c r="O74" s="29">
        <v>406.19</v>
      </c>
      <c r="P74" s="27">
        <f t="shared" si="26"/>
        <v>1852.79</v>
      </c>
      <c r="Q74" s="28">
        <f t="shared" si="19"/>
        <v>0.93811461794019935</v>
      </c>
      <c r="R74" s="28">
        <f t="shared" si="20"/>
        <v>0.39370431893687713</v>
      </c>
      <c r="S74" s="28">
        <f t="shared" si="21"/>
        <v>0.93811461794019935</v>
      </c>
    </row>
    <row r="75" spans="1:19" ht="22.5" customHeight="1" x14ac:dyDescent="0.25">
      <c r="A75" s="18" t="s">
        <v>131</v>
      </c>
      <c r="B75" s="19" t="s">
        <v>132</v>
      </c>
      <c r="C75" s="20">
        <v>6000</v>
      </c>
      <c r="D75" s="21">
        <v>0</v>
      </c>
      <c r="E75" s="20">
        <v>6000</v>
      </c>
      <c r="F75" s="20">
        <f>4371+1600</f>
        <v>5971</v>
      </c>
      <c r="G75" s="22">
        <f t="shared" si="22"/>
        <v>11971</v>
      </c>
      <c r="H75" s="23">
        <f>SUM(3000-429+4800+1600)</f>
        <v>8971</v>
      </c>
      <c r="I75" s="21">
        <v>0</v>
      </c>
      <c r="J75" s="31">
        <f>SUM(1588.12+111.97+1226.36+37.07)</f>
        <v>2963.52</v>
      </c>
      <c r="K75" s="45">
        <f>1700.09+161.91+1064.45+44.13</f>
        <v>2970.58</v>
      </c>
      <c r="L75" s="26">
        <f t="shared" si="23"/>
        <v>6000.42</v>
      </c>
      <c r="M75" s="26">
        <f t="shared" si="24"/>
        <v>3000</v>
      </c>
      <c r="N75" s="26">
        <f t="shared" si="25"/>
        <v>9000.42</v>
      </c>
      <c r="O75" s="21">
        <f>271.62+183.74</f>
        <v>455.36</v>
      </c>
      <c r="P75" s="27">
        <f t="shared" si="26"/>
        <v>2515.2199999999998</v>
      </c>
      <c r="Q75" s="28">
        <f t="shared" si="19"/>
        <v>0.33113142347564373</v>
      </c>
      <c r="R75" s="28">
        <f t="shared" si="20"/>
        <v>0.2475582658090385</v>
      </c>
      <c r="S75" s="28">
        <f t="shared" si="21"/>
        <v>0.24814802439228134</v>
      </c>
    </row>
    <row r="76" spans="1:19" ht="22.5" customHeight="1" x14ac:dyDescent="0.25">
      <c r="A76" s="18" t="s">
        <v>133</v>
      </c>
      <c r="B76" s="19" t="s">
        <v>134</v>
      </c>
      <c r="C76" s="20">
        <v>2500</v>
      </c>
      <c r="D76" s="21">
        <v>0</v>
      </c>
      <c r="E76" s="20">
        <v>2500</v>
      </c>
      <c r="F76" s="20">
        <v>2000</v>
      </c>
      <c r="G76" s="22">
        <f t="shared" si="22"/>
        <v>4500</v>
      </c>
      <c r="H76" s="23">
        <f>SUM(3000+500)</f>
        <v>3500</v>
      </c>
      <c r="I76" s="21">
        <v>0</v>
      </c>
      <c r="J76" s="24">
        <v>0</v>
      </c>
      <c r="K76" s="45">
        <v>2000</v>
      </c>
      <c r="L76" s="26">
        <f t="shared" si="23"/>
        <v>1500</v>
      </c>
      <c r="M76" s="26">
        <f t="shared" si="24"/>
        <v>1000</v>
      </c>
      <c r="N76" s="26">
        <f t="shared" si="25"/>
        <v>2500</v>
      </c>
      <c r="O76" s="29">
        <v>0</v>
      </c>
      <c r="P76" s="27">
        <f t="shared" si="26"/>
        <v>2000</v>
      </c>
      <c r="Q76" s="28">
        <f t="shared" si="19"/>
        <v>0.5714285714285714</v>
      </c>
      <c r="R76" s="28">
        <f t="shared" si="20"/>
        <v>0</v>
      </c>
      <c r="S76" s="28">
        <f t="shared" si="21"/>
        <v>0.44444444444444442</v>
      </c>
    </row>
    <row r="77" spans="1:19" ht="22.5" customHeight="1" x14ac:dyDescent="0.25">
      <c r="A77" s="30" t="s">
        <v>135</v>
      </c>
      <c r="B77" s="19" t="s">
        <v>136</v>
      </c>
      <c r="C77" s="20">
        <v>7020</v>
      </c>
      <c r="D77" s="21">
        <v>0</v>
      </c>
      <c r="E77" s="20">
        <v>7020</v>
      </c>
      <c r="F77" s="20">
        <f>2000-400</f>
        <v>1600</v>
      </c>
      <c r="G77" s="22">
        <f t="shared" si="22"/>
        <v>8620</v>
      </c>
      <c r="H77" s="23">
        <f>SUM(5000-400+2000)</f>
        <v>6600</v>
      </c>
      <c r="I77" s="21">
        <v>0</v>
      </c>
      <c r="J77" s="31">
        <f>SUM(423.19+419.44+806.67+99.46+171.2)</f>
        <v>1919.96</v>
      </c>
      <c r="K77" s="45">
        <f>423.19+509.41+1559.95+180.69</f>
        <v>2673.2400000000002</v>
      </c>
      <c r="L77" s="26">
        <f t="shared" si="23"/>
        <v>3926.7599999999998</v>
      </c>
      <c r="M77" s="26">
        <f t="shared" si="24"/>
        <v>2020</v>
      </c>
      <c r="N77" s="26">
        <f t="shared" si="25"/>
        <v>5946.76</v>
      </c>
      <c r="O77" s="29">
        <v>783.24</v>
      </c>
      <c r="P77" s="27">
        <f t="shared" si="26"/>
        <v>1890.0000000000002</v>
      </c>
      <c r="Q77" s="28">
        <f t="shared" si="19"/>
        <v>0.40503636363636369</v>
      </c>
      <c r="R77" s="28">
        <f t="shared" si="20"/>
        <v>0.22273317865429235</v>
      </c>
      <c r="S77" s="28">
        <f t="shared" si="21"/>
        <v>0.31012064965197217</v>
      </c>
    </row>
    <row r="78" spans="1:19" ht="22.5" customHeight="1" x14ac:dyDescent="0.25">
      <c r="A78" s="18">
        <v>292</v>
      </c>
      <c r="B78" s="19" t="s">
        <v>137</v>
      </c>
      <c r="C78" s="21">
        <v>0</v>
      </c>
      <c r="D78" s="21">
        <v>0</v>
      </c>
      <c r="E78" s="21">
        <v>0</v>
      </c>
      <c r="F78" s="20">
        <v>69</v>
      </c>
      <c r="G78" s="22">
        <f t="shared" si="22"/>
        <v>69</v>
      </c>
      <c r="H78" s="23">
        <v>69</v>
      </c>
      <c r="I78" s="21">
        <v>0</v>
      </c>
      <c r="J78" s="46">
        <v>0</v>
      </c>
      <c r="K78" s="45">
        <v>0</v>
      </c>
      <c r="L78" s="26">
        <f t="shared" si="23"/>
        <v>69</v>
      </c>
      <c r="M78" s="26">
        <f t="shared" si="24"/>
        <v>0</v>
      </c>
      <c r="N78" s="26">
        <f t="shared" si="25"/>
        <v>69</v>
      </c>
      <c r="O78" s="29">
        <v>0</v>
      </c>
      <c r="P78" s="27">
        <f t="shared" si="26"/>
        <v>0</v>
      </c>
      <c r="Q78" s="28">
        <f t="shared" si="19"/>
        <v>0</v>
      </c>
      <c r="R78" s="28">
        <f t="shared" si="20"/>
        <v>0</v>
      </c>
      <c r="S78" s="28">
        <f t="shared" si="21"/>
        <v>0</v>
      </c>
    </row>
    <row r="79" spans="1:19" ht="22.5" customHeight="1" thickBot="1" x14ac:dyDescent="0.3">
      <c r="A79" s="18">
        <v>297</v>
      </c>
      <c r="B79" s="19" t="s">
        <v>138</v>
      </c>
      <c r="C79" s="21">
        <v>0</v>
      </c>
      <c r="D79" s="21">
        <v>0</v>
      </c>
      <c r="E79" s="21">
        <v>0</v>
      </c>
      <c r="F79" s="20">
        <v>78</v>
      </c>
      <c r="G79" s="22">
        <f t="shared" si="22"/>
        <v>78</v>
      </c>
      <c r="H79" s="23">
        <v>78</v>
      </c>
      <c r="I79" s="21">
        <v>0</v>
      </c>
      <c r="J79" s="46">
        <v>0</v>
      </c>
      <c r="K79" s="45">
        <v>0</v>
      </c>
      <c r="L79" s="26">
        <f t="shared" si="23"/>
        <v>78</v>
      </c>
      <c r="M79" s="26">
        <f t="shared" si="24"/>
        <v>0</v>
      </c>
      <c r="N79" s="26">
        <f t="shared" si="25"/>
        <v>78</v>
      </c>
      <c r="O79" s="29">
        <v>0</v>
      </c>
      <c r="P79" s="27">
        <f t="shared" si="26"/>
        <v>0</v>
      </c>
      <c r="Q79" s="28">
        <f t="shared" si="19"/>
        <v>0</v>
      </c>
      <c r="R79" s="28">
        <f t="shared" si="20"/>
        <v>0</v>
      </c>
      <c r="S79" s="28">
        <f t="shared" si="21"/>
        <v>0</v>
      </c>
    </row>
    <row r="80" spans="1:19" s="4" customFormat="1" ht="34.5" customHeight="1" thickBot="1" x14ac:dyDescent="0.3">
      <c r="A80" s="48">
        <v>3</v>
      </c>
      <c r="B80" s="35" t="s">
        <v>139</v>
      </c>
      <c r="C80" s="49">
        <f t="shared" ref="C80:P80" si="27">SUM(C81:C86)</f>
        <v>0</v>
      </c>
      <c r="D80" s="49">
        <f t="shared" si="27"/>
        <v>0</v>
      </c>
      <c r="E80" s="49">
        <f t="shared" si="27"/>
        <v>0</v>
      </c>
      <c r="F80" s="49">
        <f t="shared" si="27"/>
        <v>5287</v>
      </c>
      <c r="G80" s="50">
        <f t="shared" si="27"/>
        <v>5287</v>
      </c>
      <c r="H80" s="51">
        <f t="shared" si="27"/>
        <v>5287</v>
      </c>
      <c r="I80" s="49">
        <f t="shared" si="27"/>
        <v>0</v>
      </c>
      <c r="J80" s="52">
        <f t="shared" si="27"/>
        <v>4886.1000000000004</v>
      </c>
      <c r="K80" s="49">
        <f t="shared" si="27"/>
        <v>4886.1000000000004</v>
      </c>
      <c r="L80" s="49">
        <f t="shared" si="27"/>
        <v>400.89999999999964</v>
      </c>
      <c r="M80" s="49">
        <f t="shared" si="27"/>
        <v>0</v>
      </c>
      <c r="N80" s="49">
        <f t="shared" si="27"/>
        <v>400.89999999999964</v>
      </c>
      <c r="O80" s="49">
        <f t="shared" si="27"/>
        <v>4886.1000000000004</v>
      </c>
      <c r="P80" s="50">
        <f t="shared" si="27"/>
        <v>0</v>
      </c>
      <c r="Q80" s="41">
        <f>SUM(K80/H80*100%)</f>
        <v>0.92417249858142625</v>
      </c>
      <c r="R80" s="53">
        <f>SUM(J80/G80*100%)</f>
        <v>0.92417249858142625</v>
      </c>
      <c r="S80" s="54">
        <f>SUM(K80/G80*100%)</f>
        <v>0.92417249858142625</v>
      </c>
    </row>
    <row r="81" spans="1:19" ht="22.5" customHeight="1" x14ac:dyDescent="0.25">
      <c r="A81" s="18" t="s">
        <v>140</v>
      </c>
      <c r="B81" s="55" t="s">
        <v>141</v>
      </c>
      <c r="C81" s="21">
        <v>0</v>
      </c>
      <c r="D81" s="21">
        <v>0</v>
      </c>
      <c r="E81" s="21">
        <v>0</v>
      </c>
      <c r="F81" s="21">
        <v>400</v>
      </c>
      <c r="G81" s="22">
        <f>SUM(E81+F81)</f>
        <v>400</v>
      </c>
      <c r="H81" s="23">
        <v>400</v>
      </c>
      <c r="I81" s="21">
        <v>0</v>
      </c>
      <c r="J81" s="24">
        <v>0</v>
      </c>
      <c r="K81" s="45">
        <f>299.95-299.95</f>
        <v>0</v>
      </c>
      <c r="L81" s="26">
        <f t="shared" ref="L81:L86" si="28">SUM(H81-K81)</f>
        <v>400</v>
      </c>
      <c r="M81" s="26">
        <f t="shared" ref="M81:M86" si="29">SUM(G81-H81)</f>
        <v>0</v>
      </c>
      <c r="N81" s="26">
        <f t="shared" ref="N81:N86" si="30">SUM(-I81+L81+M81)</f>
        <v>400</v>
      </c>
      <c r="O81" s="21">
        <v>0</v>
      </c>
      <c r="P81" s="27">
        <f t="shared" ref="P81:P86" si="31">SUM(K81-O81)</f>
        <v>0</v>
      </c>
      <c r="Q81" s="28">
        <f t="shared" si="19"/>
        <v>0</v>
      </c>
      <c r="R81" s="28">
        <f t="shared" si="20"/>
        <v>0</v>
      </c>
      <c r="S81" s="28">
        <f t="shared" si="21"/>
        <v>0</v>
      </c>
    </row>
    <row r="82" spans="1:19" ht="22.5" customHeight="1" x14ac:dyDescent="0.25">
      <c r="A82" s="18">
        <v>320</v>
      </c>
      <c r="B82" s="55" t="s">
        <v>142</v>
      </c>
      <c r="C82" s="21">
        <v>0</v>
      </c>
      <c r="D82" s="21">
        <v>0</v>
      </c>
      <c r="E82" s="21">
        <v>0</v>
      </c>
      <c r="F82" s="21">
        <v>0</v>
      </c>
      <c r="G82" s="21">
        <v>0</v>
      </c>
      <c r="H82" s="23">
        <v>0</v>
      </c>
      <c r="I82" s="21">
        <v>0</v>
      </c>
      <c r="J82" s="24">
        <v>0</v>
      </c>
      <c r="K82" s="45">
        <v>0</v>
      </c>
      <c r="L82" s="26">
        <f t="shared" si="28"/>
        <v>0</v>
      </c>
      <c r="M82" s="26">
        <f t="shared" si="29"/>
        <v>0</v>
      </c>
      <c r="N82" s="26">
        <f t="shared" si="30"/>
        <v>0</v>
      </c>
      <c r="O82" s="21">
        <v>0</v>
      </c>
      <c r="P82" s="27">
        <f t="shared" si="31"/>
        <v>0</v>
      </c>
      <c r="Q82" s="28">
        <v>0</v>
      </c>
      <c r="R82" s="28">
        <v>0</v>
      </c>
      <c r="S82" s="28">
        <v>0</v>
      </c>
    </row>
    <row r="83" spans="1:19" ht="22.5" customHeight="1" x14ac:dyDescent="0.25">
      <c r="A83" s="18" t="s">
        <v>143</v>
      </c>
      <c r="B83" s="55" t="s">
        <v>144</v>
      </c>
      <c r="C83" s="21">
        <v>0</v>
      </c>
      <c r="D83" s="21">
        <v>0</v>
      </c>
      <c r="E83" s="21">
        <v>0</v>
      </c>
      <c r="F83" s="21">
        <v>0</v>
      </c>
      <c r="G83" s="21">
        <v>0</v>
      </c>
      <c r="H83" s="23">
        <v>0</v>
      </c>
      <c r="I83" s="21">
        <v>0</v>
      </c>
      <c r="J83" s="24">
        <v>0</v>
      </c>
      <c r="K83" s="45">
        <v>0</v>
      </c>
      <c r="L83" s="26">
        <f t="shared" si="28"/>
        <v>0</v>
      </c>
      <c r="M83" s="26">
        <f t="shared" si="29"/>
        <v>0</v>
      </c>
      <c r="N83" s="26">
        <f t="shared" si="30"/>
        <v>0</v>
      </c>
      <c r="O83" s="21">
        <v>0</v>
      </c>
      <c r="P83" s="27">
        <f t="shared" si="31"/>
        <v>0</v>
      </c>
      <c r="Q83" s="28">
        <v>0</v>
      </c>
      <c r="R83" s="28">
        <v>0</v>
      </c>
      <c r="S83" s="28">
        <v>0</v>
      </c>
    </row>
    <row r="84" spans="1:19" ht="22.5" customHeight="1" x14ac:dyDescent="0.25">
      <c r="A84" s="18" t="s">
        <v>145</v>
      </c>
      <c r="B84" s="55" t="s">
        <v>146</v>
      </c>
      <c r="C84" s="21">
        <v>0</v>
      </c>
      <c r="D84" s="21">
        <v>0</v>
      </c>
      <c r="E84" s="21">
        <v>0</v>
      </c>
      <c r="F84" s="21">
        <v>4887</v>
      </c>
      <c r="G84" s="22">
        <f>SUM(E84+F84)</f>
        <v>4887</v>
      </c>
      <c r="H84" s="23">
        <v>4887</v>
      </c>
      <c r="I84" s="21">
        <v>0</v>
      </c>
      <c r="J84" s="24">
        <v>4886.1000000000004</v>
      </c>
      <c r="K84" s="45">
        <v>4886.1000000000004</v>
      </c>
      <c r="L84" s="26">
        <f t="shared" si="28"/>
        <v>0.8999999999996362</v>
      </c>
      <c r="M84" s="26">
        <f t="shared" si="29"/>
        <v>0</v>
      </c>
      <c r="N84" s="26">
        <f t="shared" si="30"/>
        <v>0.8999999999996362</v>
      </c>
      <c r="O84" s="21">
        <v>4886.1000000000004</v>
      </c>
      <c r="P84" s="27">
        <f t="shared" si="31"/>
        <v>0</v>
      </c>
      <c r="Q84" s="28">
        <f t="shared" si="19"/>
        <v>0.99981583793738493</v>
      </c>
      <c r="R84" s="28">
        <f t="shared" si="20"/>
        <v>0.99981583793738493</v>
      </c>
      <c r="S84" s="28">
        <f t="shared" si="21"/>
        <v>0.99981583793738493</v>
      </c>
    </row>
    <row r="85" spans="1:19" ht="22.5" customHeight="1" x14ac:dyDescent="0.25">
      <c r="A85" s="18" t="s">
        <v>147</v>
      </c>
      <c r="B85" s="55" t="s">
        <v>139</v>
      </c>
      <c r="C85" s="21">
        <v>0</v>
      </c>
      <c r="D85" s="21">
        <v>0</v>
      </c>
      <c r="E85" s="21">
        <v>0</v>
      </c>
      <c r="F85" s="21">
        <v>0</v>
      </c>
      <c r="G85" s="21">
        <v>0</v>
      </c>
      <c r="H85" s="23">
        <v>0</v>
      </c>
      <c r="I85" s="21">
        <v>0</v>
      </c>
      <c r="J85" s="24">
        <v>0</v>
      </c>
      <c r="K85" s="45">
        <v>0</v>
      </c>
      <c r="L85" s="26">
        <f t="shared" si="28"/>
        <v>0</v>
      </c>
      <c r="M85" s="26">
        <f t="shared" si="29"/>
        <v>0</v>
      </c>
      <c r="N85" s="26">
        <f t="shared" si="30"/>
        <v>0</v>
      </c>
      <c r="O85" s="21">
        <v>0</v>
      </c>
      <c r="P85" s="27">
        <f t="shared" si="31"/>
        <v>0</v>
      </c>
      <c r="Q85" s="28">
        <v>0</v>
      </c>
      <c r="R85" s="28">
        <v>0</v>
      </c>
      <c r="S85" s="28">
        <v>0</v>
      </c>
    </row>
    <row r="86" spans="1:19" ht="22.5" customHeight="1" thickBot="1" x14ac:dyDescent="0.3">
      <c r="A86" s="18">
        <v>380</v>
      </c>
      <c r="B86" s="55" t="s">
        <v>148</v>
      </c>
      <c r="C86" s="21">
        <v>0</v>
      </c>
      <c r="D86" s="21">
        <v>0</v>
      </c>
      <c r="E86" s="21">
        <v>0</v>
      </c>
      <c r="F86" s="21">
        <v>0</v>
      </c>
      <c r="G86" s="21">
        <v>0</v>
      </c>
      <c r="H86" s="23">
        <v>0</v>
      </c>
      <c r="I86" s="21">
        <v>0</v>
      </c>
      <c r="J86" s="24">
        <v>0</v>
      </c>
      <c r="K86" s="45">
        <v>0</v>
      </c>
      <c r="L86" s="26">
        <f t="shared" si="28"/>
        <v>0</v>
      </c>
      <c r="M86" s="26">
        <f t="shared" si="29"/>
        <v>0</v>
      </c>
      <c r="N86" s="26">
        <f t="shared" si="30"/>
        <v>0</v>
      </c>
      <c r="O86" s="21">
        <v>0</v>
      </c>
      <c r="P86" s="27">
        <f t="shared" si="31"/>
        <v>0</v>
      </c>
      <c r="Q86" s="28">
        <v>0</v>
      </c>
      <c r="R86" s="28">
        <v>0</v>
      </c>
      <c r="S86" s="28">
        <v>0</v>
      </c>
    </row>
    <row r="87" spans="1:19" s="4" customFormat="1" ht="22.5" customHeight="1" thickBot="1" x14ac:dyDescent="0.3">
      <c r="A87" s="56">
        <v>6</v>
      </c>
      <c r="B87" s="57" t="s">
        <v>149</v>
      </c>
      <c r="C87" s="58">
        <f>SUM(C89:C91)</f>
        <v>268</v>
      </c>
      <c r="D87" s="58">
        <f>SUM(D89:D91)</f>
        <v>0</v>
      </c>
      <c r="E87" s="58">
        <f>SUM(E89:E91)</f>
        <v>268</v>
      </c>
      <c r="F87" s="58">
        <f>SUM(F88:F91)</f>
        <v>15727</v>
      </c>
      <c r="G87" s="59">
        <f>SUM(G88:G91)</f>
        <v>15995</v>
      </c>
      <c r="H87" s="60">
        <f>SUM(H88:H91)</f>
        <v>15727</v>
      </c>
      <c r="I87" s="58">
        <f>SUM(I89:I91)</f>
        <v>0</v>
      </c>
      <c r="J87" s="61">
        <f>SUM(J89:J91)</f>
        <v>15726.5</v>
      </c>
      <c r="K87" s="62">
        <f>SUM(K88:K91)</f>
        <v>15726.5</v>
      </c>
      <c r="L87" s="58">
        <f>SUM(L89:L91)</f>
        <v>0.5</v>
      </c>
      <c r="M87" s="58">
        <f>SUM(M89:M91)</f>
        <v>268</v>
      </c>
      <c r="N87" s="58">
        <f>SUM(N89:N91)</f>
        <v>268.5</v>
      </c>
      <c r="O87" s="58">
        <f>SUM(O89:O91)</f>
        <v>0</v>
      </c>
      <c r="P87" s="58">
        <f>SUM(P89:P91)</f>
        <v>15726.5</v>
      </c>
      <c r="Q87" s="41">
        <f>SUM(K87/H87*100%)</f>
        <v>0.99996820754117122</v>
      </c>
      <c r="R87" s="41">
        <f>SUM(J87/G87*100%)</f>
        <v>0.98321350422006881</v>
      </c>
      <c r="S87" s="41">
        <f>SUM(K87/G87*100%)</f>
        <v>0.98321350422006881</v>
      </c>
    </row>
    <row r="88" spans="1:19" s="4" customFormat="1" ht="22.5" customHeight="1" x14ac:dyDescent="0.25">
      <c r="A88" s="30">
        <v>612</v>
      </c>
      <c r="B88" s="19" t="s">
        <v>150</v>
      </c>
      <c r="C88" s="63">
        <v>0</v>
      </c>
      <c r="D88" s="63">
        <v>0</v>
      </c>
      <c r="E88" s="63">
        <v>0</v>
      </c>
      <c r="F88" s="63">
        <f>15727-15727</f>
        <v>0</v>
      </c>
      <c r="G88" s="21">
        <v>0</v>
      </c>
      <c r="H88" s="64">
        <f>15727-15727</f>
        <v>0</v>
      </c>
      <c r="I88" s="21">
        <v>0</v>
      </c>
      <c r="J88" s="65">
        <v>0</v>
      </c>
      <c r="K88" s="66">
        <f>15726.5-15726.5</f>
        <v>0</v>
      </c>
      <c r="L88" s="63">
        <f>SUM(H88-K88)</f>
        <v>0</v>
      </c>
      <c r="M88" s="26">
        <f>SUM(G88-H88)</f>
        <v>0</v>
      </c>
      <c r="N88" s="63">
        <f>SUM(-I88+L88+M88)</f>
        <v>0</v>
      </c>
      <c r="O88" s="63">
        <v>0</v>
      </c>
      <c r="P88" s="67">
        <f>SUM(K88-O88)</f>
        <v>0</v>
      </c>
      <c r="Q88" s="28">
        <v>0</v>
      </c>
      <c r="R88" s="28">
        <v>0</v>
      </c>
      <c r="S88" s="28">
        <v>0</v>
      </c>
    </row>
    <row r="89" spans="1:19" ht="22.5" customHeight="1" x14ac:dyDescent="0.25">
      <c r="A89" s="30" t="s">
        <v>151</v>
      </c>
      <c r="B89" s="19" t="s">
        <v>152</v>
      </c>
      <c r="C89" s="21">
        <v>0</v>
      </c>
      <c r="D89" s="21">
        <v>0</v>
      </c>
      <c r="E89" s="21">
        <v>0</v>
      </c>
      <c r="F89" s="21">
        <f>1500-1500</f>
        <v>0</v>
      </c>
      <c r="G89" s="21">
        <v>0</v>
      </c>
      <c r="H89" s="23">
        <f>1500-1500</f>
        <v>0</v>
      </c>
      <c r="I89" s="21">
        <v>0</v>
      </c>
      <c r="J89" s="24">
        <v>0</v>
      </c>
      <c r="K89" s="45">
        <v>0</v>
      </c>
      <c r="L89" s="26">
        <f>SUM(H89-K89)</f>
        <v>0</v>
      </c>
      <c r="M89" s="26">
        <f>SUM(G89-H89)</f>
        <v>0</v>
      </c>
      <c r="N89" s="26">
        <f>SUM(-I89+L89+M89)</f>
        <v>0</v>
      </c>
      <c r="O89" s="21">
        <v>0</v>
      </c>
      <c r="P89" s="67">
        <f>SUM(K89-O89)</f>
        <v>0</v>
      </c>
      <c r="Q89" s="28">
        <v>0</v>
      </c>
      <c r="R89" s="28">
        <v>0</v>
      </c>
      <c r="S89" s="28">
        <v>0</v>
      </c>
    </row>
    <row r="90" spans="1:19" ht="25.5" customHeight="1" x14ac:dyDescent="0.25">
      <c r="A90" s="30" t="s">
        <v>153</v>
      </c>
      <c r="B90" s="19" t="s">
        <v>154</v>
      </c>
      <c r="C90" s="20">
        <v>268</v>
      </c>
      <c r="D90" s="21">
        <v>0</v>
      </c>
      <c r="E90" s="20">
        <v>268</v>
      </c>
      <c r="F90" s="21">
        <v>0</v>
      </c>
      <c r="G90" s="22">
        <f>SUM(E90+F90)</f>
        <v>268</v>
      </c>
      <c r="H90" s="23">
        <v>0</v>
      </c>
      <c r="I90" s="21">
        <v>0</v>
      </c>
      <c r="J90" s="24">
        <v>0</v>
      </c>
      <c r="K90" s="45">
        <v>0</v>
      </c>
      <c r="L90" s="26">
        <f>SUM(H90-K90)</f>
        <v>0</v>
      </c>
      <c r="M90" s="26">
        <f>SUM(G90-H90)</f>
        <v>268</v>
      </c>
      <c r="N90" s="26">
        <f>SUM(-I90+L90+M90)</f>
        <v>268</v>
      </c>
      <c r="O90" s="21">
        <v>0</v>
      </c>
      <c r="P90" s="67">
        <f>SUM(K90-O90)</f>
        <v>0</v>
      </c>
      <c r="Q90" s="28">
        <v>0</v>
      </c>
      <c r="R90" s="28">
        <f t="shared" si="20"/>
        <v>0</v>
      </c>
      <c r="S90" s="28">
        <f t="shared" si="21"/>
        <v>0</v>
      </c>
    </row>
    <row r="91" spans="1:19" ht="25.5" customHeight="1" thickBot="1" x14ac:dyDescent="0.3">
      <c r="A91" s="30">
        <v>692</v>
      </c>
      <c r="B91" s="19" t="s">
        <v>155</v>
      </c>
      <c r="C91" s="21">
        <v>0</v>
      </c>
      <c r="D91" s="21">
        <v>0</v>
      </c>
      <c r="E91" s="21">
        <v>0</v>
      </c>
      <c r="F91" s="21">
        <v>15727</v>
      </c>
      <c r="G91" s="22">
        <f>SUM(E91+F91)</f>
        <v>15727</v>
      </c>
      <c r="H91" s="23">
        <v>15727</v>
      </c>
      <c r="I91" s="21">
        <v>0</v>
      </c>
      <c r="J91" s="24">
        <v>15726.5</v>
      </c>
      <c r="K91" s="45">
        <v>15726.5</v>
      </c>
      <c r="L91" s="26">
        <f>SUM(H91-K91)</f>
        <v>0.5</v>
      </c>
      <c r="M91" s="26">
        <f>SUM(G91-H91)</f>
        <v>0</v>
      </c>
      <c r="N91" s="26">
        <f>SUM(-I91+L91+M91)</f>
        <v>0.5</v>
      </c>
      <c r="O91" s="21">
        <v>0</v>
      </c>
      <c r="P91" s="67">
        <f>SUM(K91-O91)</f>
        <v>15726.5</v>
      </c>
      <c r="Q91" s="28">
        <f t="shared" si="19"/>
        <v>0.99996820754117122</v>
      </c>
      <c r="R91" s="28">
        <f t="shared" si="20"/>
        <v>0.99996820754117122</v>
      </c>
      <c r="S91" s="28">
        <f t="shared" si="21"/>
        <v>0.99996820754117122</v>
      </c>
    </row>
    <row r="92" spans="1:19" ht="13.8" thickBot="1" x14ac:dyDescent="0.3">
      <c r="A92" s="68"/>
      <c r="B92" s="69" t="s">
        <v>156</v>
      </c>
      <c r="C92" s="70">
        <v>0</v>
      </c>
      <c r="D92" s="69">
        <v>0</v>
      </c>
      <c r="E92" s="70">
        <v>0</v>
      </c>
      <c r="F92" s="71">
        <f>SUM(F93+F95)</f>
        <v>100000</v>
      </c>
      <c r="G92" s="71">
        <f>SUM(G93+G95)</f>
        <v>100000</v>
      </c>
      <c r="H92" s="72">
        <f>SUM(H93+H95)</f>
        <v>100000</v>
      </c>
      <c r="I92" s="73">
        <v>0</v>
      </c>
      <c r="J92" s="74">
        <f>SUM(J93+J95)</f>
        <v>53315.1</v>
      </c>
      <c r="K92" s="75">
        <f>SUM(K93+K95)</f>
        <v>53994.499999999993</v>
      </c>
      <c r="L92" s="76">
        <f>SUM(L93+L95)</f>
        <v>46005.500000000007</v>
      </c>
      <c r="M92" s="58">
        <f>SUM(M96:M97)</f>
        <v>0</v>
      </c>
      <c r="N92" s="58">
        <f>SUM(N93+N95)</f>
        <v>46005.500000000007</v>
      </c>
      <c r="O92" s="58">
        <f>SUM(O93+O95)</f>
        <v>3975.05</v>
      </c>
      <c r="P92" s="58">
        <f>SUM(P93+P95)</f>
        <v>50019.45</v>
      </c>
      <c r="Q92" s="41">
        <f>SUM(K92/H92*100%)</f>
        <v>0.5399449999999999</v>
      </c>
      <c r="R92" s="41">
        <f>SUM(J92/G92*100%)</f>
        <v>0.53315099999999993</v>
      </c>
      <c r="S92" s="77">
        <f>SUM(K92/G92*100%)</f>
        <v>0.5399449999999999</v>
      </c>
    </row>
    <row r="93" spans="1:19" s="4" customFormat="1" ht="22.5" customHeight="1" thickBot="1" x14ac:dyDescent="0.3">
      <c r="A93" s="56">
        <v>2</v>
      </c>
      <c r="B93" s="57" t="s">
        <v>91</v>
      </c>
      <c r="C93" s="58">
        <v>0</v>
      </c>
      <c r="D93" s="58">
        <v>0</v>
      </c>
      <c r="E93" s="58">
        <v>0</v>
      </c>
      <c r="F93" s="58">
        <v>2122</v>
      </c>
      <c r="G93" s="59">
        <f>G94</f>
        <v>2122</v>
      </c>
      <c r="H93" s="60">
        <v>2122</v>
      </c>
      <c r="I93" s="58">
        <v>0</v>
      </c>
      <c r="J93" s="61">
        <v>2118.6</v>
      </c>
      <c r="K93" s="62">
        <v>2118.6</v>
      </c>
      <c r="L93" s="58">
        <f>SUM(H93-K93)</f>
        <v>3.4000000000000909</v>
      </c>
      <c r="M93" s="58">
        <v>0</v>
      </c>
      <c r="N93" s="58">
        <f>SUM(-I93+L93+M93)</f>
        <v>3.4000000000000909</v>
      </c>
      <c r="O93" s="58">
        <v>0</v>
      </c>
      <c r="P93" s="67">
        <f>SUM(K93-O93)</f>
        <v>2118.6</v>
      </c>
      <c r="Q93" s="28">
        <f t="shared" si="19"/>
        <v>0.99839773798303488</v>
      </c>
      <c r="R93" s="28">
        <f t="shared" si="20"/>
        <v>0.99839773798303488</v>
      </c>
      <c r="S93" s="41">
        <f>SUM(K93/G93*100%)</f>
        <v>0.99839773798303488</v>
      </c>
    </row>
    <row r="94" spans="1:19" ht="13.8" thickBot="1" x14ac:dyDescent="0.3">
      <c r="A94" s="43" t="s">
        <v>123</v>
      </c>
      <c r="B94" s="19" t="s">
        <v>124</v>
      </c>
      <c r="C94" s="78">
        <v>0</v>
      </c>
      <c r="D94" s="78">
        <v>0</v>
      </c>
      <c r="E94" s="78">
        <v>0</v>
      </c>
      <c r="F94" s="78">
        <v>2122</v>
      </c>
      <c r="G94" s="79">
        <v>2122</v>
      </c>
      <c r="H94" s="80">
        <v>2122</v>
      </c>
      <c r="I94" s="78">
        <v>0</v>
      </c>
      <c r="J94" s="81">
        <v>2118.6</v>
      </c>
      <c r="K94" s="82">
        <v>2118.6</v>
      </c>
      <c r="L94" s="78">
        <f>SUM(H94-K94)</f>
        <v>3.4000000000000909</v>
      </c>
      <c r="M94" s="83">
        <v>0</v>
      </c>
      <c r="N94" s="78">
        <f>SUM(-I94+L94+M94)</f>
        <v>3.4000000000000909</v>
      </c>
      <c r="O94" s="84">
        <v>0</v>
      </c>
      <c r="P94" s="67">
        <f>SUM(K94-O94)</f>
        <v>2118.6</v>
      </c>
      <c r="Q94" s="28">
        <f t="shared" si="19"/>
        <v>0.99839773798303488</v>
      </c>
      <c r="R94" s="28">
        <f t="shared" si="20"/>
        <v>0.99839773798303488</v>
      </c>
      <c r="S94" s="85">
        <f>SUM(K94/G94*100%)</f>
        <v>0.99839773798303488</v>
      </c>
    </row>
    <row r="95" spans="1:19" s="4" customFormat="1" ht="22.5" customHeight="1" thickBot="1" x14ac:dyDescent="0.3">
      <c r="A95" s="56">
        <v>3</v>
      </c>
      <c r="B95" s="57" t="s">
        <v>139</v>
      </c>
      <c r="C95" s="58">
        <v>0</v>
      </c>
      <c r="D95" s="58">
        <v>0</v>
      </c>
      <c r="E95" s="58">
        <v>0</v>
      </c>
      <c r="F95" s="59">
        <f>SUM(F96:F101)</f>
        <v>97878</v>
      </c>
      <c r="G95" s="59">
        <f>SUM(G96:G101)</f>
        <v>97878</v>
      </c>
      <c r="H95" s="86">
        <f>SUM(H96:H101)</f>
        <v>97878</v>
      </c>
      <c r="I95" s="87">
        <v>0</v>
      </c>
      <c r="J95" s="88">
        <f>SUM(J96:J101)</f>
        <v>51196.5</v>
      </c>
      <c r="K95" s="58">
        <f>SUM(K96:K101)</f>
        <v>51875.899999999994</v>
      </c>
      <c r="L95" s="58">
        <f>SUM(L96:L101)</f>
        <v>46002.100000000006</v>
      </c>
      <c r="M95" s="58">
        <v>0</v>
      </c>
      <c r="N95" s="59">
        <f>SUM(N96:N101)</f>
        <v>46002.100000000006</v>
      </c>
      <c r="O95" s="59">
        <f>SUM(O96:O101)</f>
        <v>3975.05</v>
      </c>
      <c r="P95" s="59">
        <f>SUM(P96:P101)</f>
        <v>47900.85</v>
      </c>
      <c r="Q95" s="41">
        <f>SUM(K95/H95*100%)</f>
        <v>0.53000572140828373</v>
      </c>
      <c r="R95" s="47">
        <f>SUM(J95/G95*100%)</f>
        <v>0.52306442714399559</v>
      </c>
      <c r="S95" s="10">
        <f>SUM(K95/G95*100%)</f>
        <v>0.53000572140828373</v>
      </c>
    </row>
    <row r="96" spans="1:19" x14ac:dyDescent="0.25">
      <c r="A96" s="43" t="s">
        <v>140</v>
      </c>
      <c r="B96" s="89" t="s">
        <v>141</v>
      </c>
      <c r="C96" s="78">
        <v>0</v>
      </c>
      <c r="D96" s="78">
        <v>0</v>
      </c>
      <c r="E96" s="78">
        <v>0</v>
      </c>
      <c r="F96" s="78">
        <f>40000-2122-32000</f>
        <v>5878</v>
      </c>
      <c r="G96" s="79">
        <f t="shared" ref="G96:G101" si="32">SUM(E96+F96)</f>
        <v>5878</v>
      </c>
      <c r="H96" s="80">
        <f>SUM(40000-2122-32000)</f>
        <v>5878</v>
      </c>
      <c r="I96" s="78">
        <v>0</v>
      </c>
      <c r="J96" s="24">
        <f>745.37+299.95</f>
        <v>1045.32</v>
      </c>
      <c r="K96" s="66">
        <f>745.37+299.95</f>
        <v>1045.32</v>
      </c>
      <c r="L96" s="78">
        <f t="shared" ref="L96:L101" si="33">SUM(H96-K96)</f>
        <v>4832.68</v>
      </c>
      <c r="M96" s="83">
        <f t="shared" ref="M96:M101" si="34">SUM(G96-H96)</f>
        <v>0</v>
      </c>
      <c r="N96" s="78">
        <f t="shared" ref="N96:N101" si="35">SUM(-I96+L96+M96)</f>
        <v>4832.68</v>
      </c>
      <c r="O96" s="84">
        <v>0</v>
      </c>
      <c r="P96" s="84">
        <f t="shared" ref="P96:P101" si="36">SUM(K96-O96)</f>
        <v>1045.32</v>
      </c>
      <c r="Q96" s="85">
        <f t="shared" si="19"/>
        <v>0.17783599863899285</v>
      </c>
      <c r="R96" s="85">
        <f t="shared" ref="R96:R101" si="37">SUM(J96/G96*100%)</f>
        <v>0.17783599863899285</v>
      </c>
      <c r="S96" s="85">
        <f t="shared" ref="S96:S101" si="38">SUM(K96/G96*100%)</f>
        <v>0.17783599863899285</v>
      </c>
    </row>
    <row r="97" spans="1:19" x14ac:dyDescent="0.25">
      <c r="A97" s="18">
        <v>320</v>
      </c>
      <c r="B97" s="55" t="s">
        <v>142</v>
      </c>
      <c r="C97" s="90">
        <v>0</v>
      </c>
      <c r="D97" s="90">
        <v>0</v>
      </c>
      <c r="E97" s="90">
        <v>0</v>
      </c>
      <c r="F97" s="90">
        <v>4000</v>
      </c>
      <c r="G97" s="22">
        <f t="shared" si="32"/>
        <v>4000</v>
      </c>
      <c r="H97" s="91">
        <v>4000</v>
      </c>
      <c r="I97" s="90">
        <v>0</v>
      </c>
      <c r="J97" s="24">
        <v>0</v>
      </c>
      <c r="K97" s="66">
        <v>0</v>
      </c>
      <c r="L97" s="90">
        <f t="shared" si="33"/>
        <v>4000</v>
      </c>
      <c r="M97" s="27">
        <f t="shared" si="34"/>
        <v>0</v>
      </c>
      <c r="N97" s="90">
        <f t="shared" si="35"/>
        <v>4000</v>
      </c>
      <c r="O97" s="92">
        <v>0</v>
      </c>
      <c r="P97" s="92">
        <f t="shared" si="36"/>
        <v>0</v>
      </c>
      <c r="Q97" s="93">
        <f t="shared" si="19"/>
        <v>0</v>
      </c>
      <c r="R97" s="93">
        <f t="shared" si="37"/>
        <v>0</v>
      </c>
      <c r="S97" s="93">
        <f t="shared" si="38"/>
        <v>0</v>
      </c>
    </row>
    <row r="98" spans="1:19" x14ac:dyDescent="0.25">
      <c r="A98" s="18" t="s">
        <v>143</v>
      </c>
      <c r="B98" s="55" t="s">
        <v>144</v>
      </c>
      <c r="C98" s="90">
        <v>0</v>
      </c>
      <c r="D98" s="90">
        <v>0</v>
      </c>
      <c r="E98" s="90">
        <v>0</v>
      </c>
      <c r="F98" s="90">
        <f>8000-3500</f>
        <v>4500</v>
      </c>
      <c r="G98" s="22">
        <f t="shared" si="32"/>
        <v>4500</v>
      </c>
      <c r="H98" s="91">
        <f>8000-3500</f>
        <v>4500</v>
      </c>
      <c r="I98" s="90">
        <v>0</v>
      </c>
      <c r="J98" s="24">
        <v>0</v>
      </c>
      <c r="K98" s="66">
        <v>0</v>
      </c>
      <c r="L98" s="90">
        <f t="shared" si="33"/>
        <v>4500</v>
      </c>
      <c r="M98" s="27">
        <f t="shared" si="34"/>
        <v>0</v>
      </c>
      <c r="N98" s="90">
        <f t="shared" si="35"/>
        <v>4500</v>
      </c>
      <c r="O98" s="92">
        <v>0</v>
      </c>
      <c r="P98" s="92">
        <f t="shared" si="36"/>
        <v>0</v>
      </c>
      <c r="Q98" s="93">
        <f t="shared" si="19"/>
        <v>0</v>
      </c>
      <c r="R98" s="93">
        <f t="shared" si="37"/>
        <v>0</v>
      </c>
      <c r="S98" s="93">
        <f t="shared" si="38"/>
        <v>0</v>
      </c>
    </row>
    <row r="99" spans="1:19" x14ac:dyDescent="0.25">
      <c r="A99" s="18" t="s">
        <v>145</v>
      </c>
      <c r="B99" s="55" t="s">
        <v>146</v>
      </c>
      <c r="C99" s="90">
        <v>0</v>
      </c>
      <c r="D99" s="90">
        <v>0</v>
      </c>
      <c r="E99" s="90">
        <v>0</v>
      </c>
      <c r="F99" s="90">
        <v>3000</v>
      </c>
      <c r="G99" s="22">
        <f t="shared" si="32"/>
        <v>3000</v>
      </c>
      <c r="H99" s="91">
        <v>3000</v>
      </c>
      <c r="I99" s="90">
        <v>0</v>
      </c>
      <c r="J99" s="24">
        <f>513.6+148.33</f>
        <v>661.93000000000006</v>
      </c>
      <c r="K99" s="66">
        <f>513.6+148.33</f>
        <v>661.93000000000006</v>
      </c>
      <c r="L99" s="90">
        <f t="shared" si="33"/>
        <v>2338.0699999999997</v>
      </c>
      <c r="M99" s="27">
        <f t="shared" si="34"/>
        <v>0</v>
      </c>
      <c r="N99" s="90">
        <f t="shared" si="35"/>
        <v>2338.0699999999997</v>
      </c>
      <c r="O99" s="92">
        <v>0</v>
      </c>
      <c r="P99" s="92">
        <f t="shared" si="36"/>
        <v>661.93000000000006</v>
      </c>
      <c r="Q99" s="93">
        <f t="shared" si="19"/>
        <v>0.22064333333333336</v>
      </c>
      <c r="R99" s="93">
        <f t="shared" si="37"/>
        <v>0.22064333333333336</v>
      </c>
      <c r="S99" s="93">
        <f t="shared" si="38"/>
        <v>0.22064333333333336</v>
      </c>
    </row>
    <row r="100" spans="1:19" x14ac:dyDescent="0.25">
      <c r="A100" s="18" t="s">
        <v>147</v>
      </c>
      <c r="B100" s="55" t="s">
        <v>139</v>
      </c>
      <c r="C100" s="90">
        <v>0</v>
      </c>
      <c r="D100" s="90">
        <v>0</v>
      </c>
      <c r="E100" s="90">
        <v>0</v>
      </c>
      <c r="F100" s="90">
        <f>5000+5500</f>
        <v>10500</v>
      </c>
      <c r="G100" s="22">
        <f t="shared" si="32"/>
        <v>10500</v>
      </c>
      <c r="H100" s="91">
        <f>5000+5500</f>
        <v>10500</v>
      </c>
      <c r="I100" s="90">
        <v>0</v>
      </c>
      <c r="J100" s="24">
        <v>9915.2999999999993</v>
      </c>
      <c r="K100" s="66">
        <v>9915.2999999999993</v>
      </c>
      <c r="L100" s="90">
        <f t="shared" si="33"/>
        <v>584.70000000000073</v>
      </c>
      <c r="M100" s="27">
        <f t="shared" si="34"/>
        <v>0</v>
      </c>
      <c r="N100" s="90">
        <f t="shared" si="35"/>
        <v>584.70000000000073</v>
      </c>
      <c r="O100" s="92">
        <v>3975.05</v>
      </c>
      <c r="P100" s="92">
        <f t="shared" si="36"/>
        <v>5940.2499999999991</v>
      </c>
      <c r="Q100" s="93">
        <f t="shared" si="19"/>
        <v>0.94431428571428566</v>
      </c>
      <c r="R100" s="93">
        <f t="shared" si="37"/>
        <v>0.94431428571428566</v>
      </c>
      <c r="S100" s="93">
        <f t="shared" si="38"/>
        <v>0.94431428571428566</v>
      </c>
    </row>
    <row r="101" spans="1:19" ht="13.8" thickBot="1" x14ac:dyDescent="0.3">
      <c r="A101" s="94">
        <v>380</v>
      </c>
      <c r="B101" s="95" t="s">
        <v>148</v>
      </c>
      <c r="C101" s="96">
        <v>0</v>
      </c>
      <c r="D101" s="96">
        <v>0</v>
      </c>
      <c r="E101" s="96">
        <v>0</v>
      </c>
      <c r="F101" s="96">
        <f>40000+30000</f>
        <v>70000</v>
      </c>
      <c r="G101" s="97">
        <f t="shared" si="32"/>
        <v>70000</v>
      </c>
      <c r="H101" s="98">
        <f>40000+30000</f>
        <v>70000</v>
      </c>
      <c r="I101" s="96">
        <v>0</v>
      </c>
      <c r="J101" s="99">
        <f>23309.95+15836+1107.4-679.4</f>
        <v>39573.949999999997</v>
      </c>
      <c r="K101" s="100">
        <f>26466.45+12679.5+1107.4</f>
        <v>40253.35</v>
      </c>
      <c r="L101" s="96">
        <f t="shared" si="33"/>
        <v>29746.65</v>
      </c>
      <c r="M101" s="101">
        <f t="shared" si="34"/>
        <v>0</v>
      </c>
      <c r="N101" s="96">
        <f t="shared" si="35"/>
        <v>29746.65</v>
      </c>
      <c r="O101" s="102">
        <v>0</v>
      </c>
      <c r="P101" s="102">
        <f t="shared" si="36"/>
        <v>40253.35</v>
      </c>
      <c r="Q101" s="103">
        <f t="shared" si="19"/>
        <v>0.57504785714285711</v>
      </c>
      <c r="R101" s="103">
        <f t="shared" si="37"/>
        <v>0.56534214285714279</v>
      </c>
      <c r="S101" s="103">
        <f t="shared" si="38"/>
        <v>0.57504785714285711</v>
      </c>
    </row>
    <row r="102" spans="1:19" x14ac:dyDescent="0.25">
      <c r="Q102" s="2"/>
    </row>
  </sheetData>
  <mergeCells count="6">
    <mergeCell ref="A1:S1"/>
    <mergeCell ref="A2:S2"/>
    <mergeCell ref="A3:S3"/>
    <mergeCell ref="A4:S4"/>
    <mergeCell ref="A5:S5"/>
    <mergeCell ref="A7:B7"/>
  </mergeCells>
  <pageMargins left="0.7" right="0.7" top="0.75" bottom="0.75" header="0.3" footer="0.3"/>
  <pageSetup paperSize="9"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de Gantes</dc:creator>
  <cp:lastModifiedBy>Carolina de Gantes</cp:lastModifiedBy>
  <cp:lastPrinted>2021-08-04T17:06:51Z</cp:lastPrinted>
  <dcterms:created xsi:type="dcterms:W3CDTF">2021-08-04T16:44:49Z</dcterms:created>
  <dcterms:modified xsi:type="dcterms:W3CDTF">2021-08-04T17:08:02Z</dcterms:modified>
</cp:coreProperties>
</file>