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jrodriguez\Downloads\"/>
    </mc:Choice>
  </mc:AlternateContent>
  <xr:revisionPtr revIDLastSave="0" documentId="8_{3D446A81-3181-476A-80E7-5D93F7B8287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pia de OBJETO  DE GASTOS DE A" sheetId="1" r:id="rId1"/>
    <sheet name="Hoja2" sheetId="2" state="hidden" r:id="rId2"/>
    <sheet name="EJECUCION 8 WEB" sheetId="5" state="hidden" r:id="rId3"/>
  </sheets>
  <externalReferences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6" i="5" l="1"/>
  <c r="K106" i="5"/>
  <c r="J106" i="5"/>
  <c r="H106" i="5"/>
  <c r="F106" i="5"/>
  <c r="G106" i="5" s="1"/>
  <c r="M106" i="5" s="1"/>
  <c r="K105" i="5"/>
  <c r="J105" i="5"/>
  <c r="H105" i="5"/>
  <c r="F105" i="5"/>
  <c r="G105" i="5" s="1"/>
  <c r="L104" i="5"/>
  <c r="K104" i="5"/>
  <c r="J104" i="5"/>
  <c r="H104" i="5"/>
  <c r="F104" i="5"/>
  <c r="G104" i="5" s="1"/>
  <c r="M104" i="5" s="1"/>
  <c r="P103" i="5"/>
  <c r="H103" i="5"/>
  <c r="L103" i="5" s="1"/>
  <c r="G103" i="5"/>
  <c r="S103" i="5" s="1"/>
  <c r="F103" i="5"/>
  <c r="P102" i="5"/>
  <c r="L102" i="5"/>
  <c r="H102" i="5"/>
  <c r="Q102" i="5" s="1"/>
  <c r="F102" i="5"/>
  <c r="G102" i="5" s="1"/>
  <c r="S102" i="5" s="1"/>
  <c r="P101" i="5"/>
  <c r="G101" i="5"/>
  <c r="K100" i="5"/>
  <c r="P100" i="5" s="1"/>
  <c r="J100" i="5"/>
  <c r="H100" i="5"/>
  <c r="F100" i="5"/>
  <c r="G100" i="5" s="1"/>
  <c r="S100" i="5" s="1"/>
  <c r="O99" i="5"/>
  <c r="K98" i="5"/>
  <c r="K97" i="5" s="1"/>
  <c r="P97" i="5" s="1"/>
  <c r="J98" i="5"/>
  <c r="R98" i="5" s="1"/>
  <c r="H98" i="5"/>
  <c r="G98" i="5"/>
  <c r="S98" i="5" s="1"/>
  <c r="F98" i="5"/>
  <c r="F97" i="5" s="1"/>
  <c r="O97" i="5"/>
  <c r="S95" i="5"/>
  <c r="R95" i="5"/>
  <c r="Q95" i="5"/>
  <c r="P95" i="5"/>
  <c r="L95" i="5"/>
  <c r="N95" i="5" s="1"/>
  <c r="G95" i="5"/>
  <c r="M95" i="5" s="1"/>
  <c r="S94" i="5"/>
  <c r="R94" i="5"/>
  <c r="Q94" i="5"/>
  <c r="P94" i="5"/>
  <c r="L94" i="5"/>
  <c r="N94" i="5" s="1"/>
  <c r="G94" i="5"/>
  <c r="M94" i="5" s="1"/>
  <c r="P93" i="5"/>
  <c r="P91" i="5" s="1"/>
  <c r="H93" i="5"/>
  <c r="F93" i="5"/>
  <c r="M92" i="5"/>
  <c r="K92" i="5"/>
  <c r="P92" i="5" s="1"/>
  <c r="H92" i="5"/>
  <c r="L92" i="5" s="1"/>
  <c r="F92" i="5"/>
  <c r="O91" i="5"/>
  <c r="K91" i="5"/>
  <c r="J91" i="5"/>
  <c r="I91" i="5"/>
  <c r="E91" i="5"/>
  <c r="D91" i="5"/>
  <c r="C91" i="5"/>
  <c r="P90" i="5"/>
  <c r="M90" i="5"/>
  <c r="L90" i="5"/>
  <c r="P89" i="5"/>
  <c r="M89" i="5"/>
  <c r="L89" i="5"/>
  <c r="Q88" i="5"/>
  <c r="P88" i="5"/>
  <c r="L88" i="5"/>
  <c r="G88" i="5"/>
  <c r="P87" i="5"/>
  <c r="M87" i="5"/>
  <c r="L87" i="5"/>
  <c r="P86" i="5"/>
  <c r="M86" i="5"/>
  <c r="L86" i="5"/>
  <c r="S85" i="5"/>
  <c r="R85" i="5"/>
  <c r="Q85" i="5"/>
  <c r="P85" i="5"/>
  <c r="L85" i="5"/>
  <c r="N85" i="5" s="1"/>
  <c r="Q84" i="5"/>
  <c r="L84" i="5"/>
  <c r="K84" i="5"/>
  <c r="P84" i="5" s="1"/>
  <c r="G84" i="5"/>
  <c r="S84" i="5" s="1"/>
  <c r="O83" i="5"/>
  <c r="J83" i="5"/>
  <c r="I83" i="5"/>
  <c r="H83" i="5"/>
  <c r="F83" i="5"/>
  <c r="E83" i="5"/>
  <c r="D83" i="5"/>
  <c r="C83" i="5"/>
  <c r="K82" i="5"/>
  <c r="S82" i="5" s="1"/>
  <c r="J82" i="5"/>
  <c r="R82" i="5" s="1"/>
  <c r="G82" i="5"/>
  <c r="M82" i="5" s="1"/>
  <c r="Q81" i="5"/>
  <c r="L81" i="5"/>
  <c r="K81" i="5"/>
  <c r="P81" i="5" s="1"/>
  <c r="J81" i="5"/>
  <c r="R81" i="5" s="1"/>
  <c r="G81" i="5"/>
  <c r="S81" i="5" s="1"/>
  <c r="P80" i="5"/>
  <c r="O80" i="5"/>
  <c r="K80" i="5"/>
  <c r="J80" i="5"/>
  <c r="H80" i="5"/>
  <c r="F80" i="5"/>
  <c r="G80" i="5" s="1"/>
  <c r="Q79" i="5"/>
  <c r="L79" i="5"/>
  <c r="K79" i="5"/>
  <c r="P79" i="5" s="1"/>
  <c r="H79" i="5"/>
  <c r="F79" i="5"/>
  <c r="G79" i="5" s="1"/>
  <c r="R79" i="5" s="1"/>
  <c r="O78" i="5"/>
  <c r="K78" i="5"/>
  <c r="P78" i="5" s="1"/>
  <c r="J78" i="5"/>
  <c r="H78" i="5"/>
  <c r="F78" i="5"/>
  <c r="G78" i="5" s="1"/>
  <c r="O77" i="5"/>
  <c r="K77" i="5"/>
  <c r="S77" i="5" s="1"/>
  <c r="J77" i="5"/>
  <c r="R77" i="5" s="1"/>
  <c r="H77" i="5"/>
  <c r="G77" i="5"/>
  <c r="M77" i="5" s="1"/>
  <c r="F77" i="5"/>
  <c r="P76" i="5"/>
  <c r="H76" i="5"/>
  <c r="Q76" i="5" s="1"/>
  <c r="G76" i="5"/>
  <c r="S76" i="5" s="1"/>
  <c r="F76" i="5"/>
  <c r="O75" i="5"/>
  <c r="K75" i="5"/>
  <c r="J75" i="5"/>
  <c r="H75" i="5"/>
  <c r="Q75" i="5" s="1"/>
  <c r="F75" i="5"/>
  <c r="G75" i="5" s="1"/>
  <c r="M75" i="5" s="1"/>
  <c r="K74" i="5"/>
  <c r="P74" i="5" s="1"/>
  <c r="J74" i="5"/>
  <c r="H74" i="5"/>
  <c r="Q74" i="5" s="1"/>
  <c r="F74" i="5"/>
  <c r="G74" i="5" s="1"/>
  <c r="R74" i="5" s="1"/>
  <c r="K73" i="5"/>
  <c r="P73" i="5" s="1"/>
  <c r="J73" i="5"/>
  <c r="H73" i="5"/>
  <c r="F73" i="5"/>
  <c r="G73" i="5" s="1"/>
  <c r="Q72" i="5"/>
  <c r="L72" i="5"/>
  <c r="K72" i="5"/>
  <c r="P72" i="5" s="1"/>
  <c r="J72" i="5"/>
  <c r="R72" i="5" s="1"/>
  <c r="G72" i="5"/>
  <c r="M72" i="5" s="1"/>
  <c r="K71" i="5"/>
  <c r="J71" i="5"/>
  <c r="H71" i="5"/>
  <c r="M71" i="5" s="1"/>
  <c r="G71" i="5"/>
  <c r="O70" i="5"/>
  <c r="K70" i="5"/>
  <c r="J70" i="5"/>
  <c r="H70" i="5"/>
  <c r="F70" i="5"/>
  <c r="G70" i="5" s="1"/>
  <c r="M70" i="5" s="1"/>
  <c r="K69" i="5"/>
  <c r="J69" i="5"/>
  <c r="H69" i="5"/>
  <c r="F69" i="5"/>
  <c r="G69" i="5" s="1"/>
  <c r="S68" i="5"/>
  <c r="K68" i="5"/>
  <c r="J68" i="5"/>
  <c r="H68" i="5"/>
  <c r="M68" i="5" s="1"/>
  <c r="G68" i="5"/>
  <c r="S67" i="5"/>
  <c r="R67" i="5"/>
  <c r="P67" i="5"/>
  <c r="M67" i="5"/>
  <c r="J67" i="5"/>
  <c r="H67" i="5"/>
  <c r="G67" i="5"/>
  <c r="Q66" i="5"/>
  <c r="P66" i="5"/>
  <c r="N66" i="5"/>
  <c r="L66" i="5"/>
  <c r="G66" i="5"/>
  <c r="O65" i="5"/>
  <c r="K65" i="5"/>
  <c r="J65" i="5"/>
  <c r="H65" i="5"/>
  <c r="L65" i="5" s="1"/>
  <c r="G65" i="5"/>
  <c r="F65" i="5"/>
  <c r="K64" i="5"/>
  <c r="J64" i="5"/>
  <c r="H64" i="5"/>
  <c r="G64" i="5"/>
  <c r="M64" i="5" s="1"/>
  <c r="K63" i="5"/>
  <c r="J63" i="5"/>
  <c r="R63" i="5" s="1"/>
  <c r="H63" i="5"/>
  <c r="F63" i="5"/>
  <c r="G63" i="5" s="1"/>
  <c r="P62" i="5"/>
  <c r="J62" i="5"/>
  <c r="H62" i="5"/>
  <c r="F62" i="5"/>
  <c r="G62" i="5" s="1"/>
  <c r="O61" i="5"/>
  <c r="K61" i="5"/>
  <c r="J61" i="5"/>
  <c r="R61" i="5" s="1"/>
  <c r="H61" i="5"/>
  <c r="F61" i="5"/>
  <c r="G61" i="5" s="1"/>
  <c r="P60" i="5"/>
  <c r="K60" i="5"/>
  <c r="H60" i="5"/>
  <c r="G60" i="5"/>
  <c r="R60" i="5" s="1"/>
  <c r="F60" i="5"/>
  <c r="O59" i="5"/>
  <c r="K59" i="5"/>
  <c r="J59" i="5"/>
  <c r="H59" i="5"/>
  <c r="M59" i="5" s="1"/>
  <c r="G59" i="5"/>
  <c r="O58" i="5"/>
  <c r="K58" i="5"/>
  <c r="J58" i="5"/>
  <c r="R58" i="5" s="1"/>
  <c r="H58" i="5"/>
  <c r="F58" i="5"/>
  <c r="G58" i="5" s="1"/>
  <c r="O57" i="5"/>
  <c r="K57" i="5"/>
  <c r="J57" i="5"/>
  <c r="H57" i="5"/>
  <c r="L57" i="5" s="1"/>
  <c r="F57" i="5"/>
  <c r="G57" i="5" s="1"/>
  <c r="M57" i="5" s="1"/>
  <c r="Q56" i="5"/>
  <c r="P56" i="5"/>
  <c r="N56" i="5"/>
  <c r="L56" i="5"/>
  <c r="G56" i="5"/>
  <c r="Q55" i="5"/>
  <c r="P55" i="5"/>
  <c r="L55" i="5"/>
  <c r="G55" i="5"/>
  <c r="P54" i="5"/>
  <c r="H54" i="5"/>
  <c r="F54" i="5"/>
  <c r="G54" i="5" s="1"/>
  <c r="K53" i="5"/>
  <c r="J53" i="5"/>
  <c r="H53" i="5"/>
  <c r="F53" i="5"/>
  <c r="G53" i="5" s="1"/>
  <c r="P52" i="5"/>
  <c r="K52" i="5"/>
  <c r="Q52" i="5" s="1"/>
  <c r="J52" i="5"/>
  <c r="G52" i="5"/>
  <c r="I51" i="5"/>
  <c r="E51" i="5"/>
  <c r="D51" i="5"/>
  <c r="C51" i="5"/>
  <c r="K50" i="5"/>
  <c r="P50" i="5" s="1"/>
  <c r="J50" i="5"/>
  <c r="R50" i="5" s="1"/>
  <c r="G50" i="5"/>
  <c r="K49" i="5"/>
  <c r="Q49" i="5" s="1"/>
  <c r="J49" i="5"/>
  <c r="H49" i="5"/>
  <c r="F49" i="5"/>
  <c r="G49" i="5" s="1"/>
  <c r="M49" i="5" s="1"/>
  <c r="Q48" i="5"/>
  <c r="K48" i="5"/>
  <c r="S48" i="5" s="1"/>
  <c r="J48" i="5"/>
  <c r="R48" i="5" s="1"/>
  <c r="G48" i="5"/>
  <c r="M48" i="5" s="1"/>
  <c r="Q47" i="5"/>
  <c r="P47" i="5"/>
  <c r="M47" i="5"/>
  <c r="N47" i="5" s="1"/>
  <c r="L47" i="5"/>
  <c r="G47" i="5"/>
  <c r="S47" i="5" s="1"/>
  <c r="P46" i="5"/>
  <c r="H46" i="5"/>
  <c r="Q46" i="5" s="1"/>
  <c r="G46" i="5"/>
  <c r="S46" i="5" s="1"/>
  <c r="F46" i="5"/>
  <c r="P45" i="5"/>
  <c r="L45" i="5"/>
  <c r="K45" i="5"/>
  <c r="Q45" i="5" s="1"/>
  <c r="J45" i="5"/>
  <c r="H45" i="5"/>
  <c r="F45" i="5"/>
  <c r="G45" i="5" s="1"/>
  <c r="O44" i="5"/>
  <c r="K44" i="5"/>
  <c r="P44" i="5" s="1"/>
  <c r="J44" i="5"/>
  <c r="H44" i="5"/>
  <c r="F44" i="5"/>
  <c r="G44" i="5" s="1"/>
  <c r="R43" i="5"/>
  <c r="P43" i="5"/>
  <c r="M43" i="5"/>
  <c r="H43" i="5"/>
  <c r="L43" i="5" s="1"/>
  <c r="N43" i="5" s="1"/>
  <c r="G43" i="5"/>
  <c r="S43" i="5" s="1"/>
  <c r="O42" i="5"/>
  <c r="K42" i="5"/>
  <c r="H42" i="5"/>
  <c r="L42" i="5" s="1"/>
  <c r="F42" i="5"/>
  <c r="G42" i="5" s="1"/>
  <c r="R42" i="5" s="1"/>
  <c r="S41" i="5"/>
  <c r="R41" i="5"/>
  <c r="Q41" i="5"/>
  <c r="P41" i="5"/>
  <c r="L41" i="5"/>
  <c r="N41" i="5" s="1"/>
  <c r="G41" i="5"/>
  <c r="O40" i="5"/>
  <c r="K40" i="5"/>
  <c r="P40" i="5" s="1"/>
  <c r="J40" i="5"/>
  <c r="R40" i="5" s="1"/>
  <c r="H40" i="5"/>
  <c r="F40" i="5"/>
  <c r="G40" i="5" s="1"/>
  <c r="O39" i="5"/>
  <c r="K39" i="5"/>
  <c r="J39" i="5"/>
  <c r="H39" i="5"/>
  <c r="L39" i="5" s="1"/>
  <c r="F39" i="5"/>
  <c r="G39" i="5" s="1"/>
  <c r="M39" i="5" s="1"/>
  <c r="K38" i="5"/>
  <c r="Q38" i="5" s="1"/>
  <c r="J38" i="5"/>
  <c r="H38" i="5"/>
  <c r="G38" i="5"/>
  <c r="M38" i="5" s="1"/>
  <c r="P37" i="5"/>
  <c r="J37" i="5"/>
  <c r="H37" i="5"/>
  <c r="G37" i="5"/>
  <c r="S37" i="5" s="1"/>
  <c r="P36" i="5"/>
  <c r="L36" i="5"/>
  <c r="H36" i="5"/>
  <c r="F36" i="5"/>
  <c r="G36" i="5" s="1"/>
  <c r="M36" i="5" s="1"/>
  <c r="O35" i="5"/>
  <c r="K35" i="5"/>
  <c r="Q35" i="5" s="1"/>
  <c r="J35" i="5"/>
  <c r="R35" i="5" s="1"/>
  <c r="H35" i="5"/>
  <c r="G35" i="5"/>
  <c r="F35" i="5"/>
  <c r="K34" i="5"/>
  <c r="S34" i="5" s="1"/>
  <c r="H34" i="5"/>
  <c r="G34" i="5"/>
  <c r="R34" i="5" s="1"/>
  <c r="O33" i="5"/>
  <c r="K33" i="5"/>
  <c r="J33" i="5"/>
  <c r="H33" i="5"/>
  <c r="L33" i="5" s="1"/>
  <c r="G33" i="5"/>
  <c r="M33" i="5" s="1"/>
  <c r="N33" i="5" s="1"/>
  <c r="M32" i="5"/>
  <c r="N32" i="5" s="1"/>
  <c r="K32" i="5"/>
  <c r="H32" i="5"/>
  <c r="L32" i="5" s="1"/>
  <c r="G32" i="5"/>
  <c r="P31" i="5"/>
  <c r="H31" i="5"/>
  <c r="L31" i="5" s="1"/>
  <c r="G31" i="5"/>
  <c r="K30" i="5"/>
  <c r="H30" i="5"/>
  <c r="F30" i="5"/>
  <c r="G30" i="5" s="1"/>
  <c r="O29" i="5"/>
  <c r="K29" i="5"/>
  <c r="H29" i="5"/>
  <c r="F29" i="5"/>
  <c r="E29" i="5"/>
  <c r="G29" i="5" s="1"/>
  <c r="Q28" i="5"/>
  <c r="O28" i="5"/>
  <c r="P28" i="5" s="1"/>
  <c r="J28" i="5"/>
  <c r="H28" i="5"/>
  <c r="L28" i="5" s="1"/>
  <c r="F28" i="5"/>
  <c r="E28" i="5"/>
  <c r="P27" i="5"/>
  <c r="O27" i="5"/>
  <c r="K27" i="5"/>
  <c r="J27" i="5"/>
  <c r="H27" i="5"/>
  <c r="F27" i="5"/>
  <c r="E27" i="5"/>
  <c r="O26" i="5"/>
  <c r="O19" i="5" s="1"/>
  <c r="K26" i="5"/>
  <c r="P26" i="5" s="1"/>
  <c r="J26" i="5"/>
  <c r="H26" i="5"/>
  <c r="F26" i="5"/>
  <c r="G26" i="5" s="1"/>
  <c r="E26" i="5"/>
  <c r="Q25" i="5"/>
  <c r="P25" i="5"/>
  <c r="M25" i="5"/>
  <c r="L25" i="5"/>
  <c r="G25" i="5"/>
  <c r="S25" i="5" s="1"/>
  <c r="P24" i="5"/>
  <c r="H24" i="5"/>
  <c r="L24" i="5" s="1"/>
  <c r="G24" i="5"/>
  <c r="S24" i="5" s="1"/>
  <c r="P23" i="5"/>
  <c r="H23" i="5"/>
  <c r="Q23" i="5" s="1"/>
  <c r="G23" i="5"/>
  <c r="S23" i="5" s="1"/>
  <c r="P22" i="5"/>
  <c r="H22" i="5"/>
  <c r="Q22" i="5" s="1"/>
  <c r="G22" i="5"/>
  <c r="R22" i="5" s="1"/>
  <c r="O21" i="5"/>
  <c r="K21" i="5"/>
  <c r="S21" i="5" s="1"/>
  <c r="J21" i="5"/>
  <c r="R21" i="5" s="1"/>
  <c r="H21" i="5"/>
  <c r="L21" i="5" s="1"/>
  <c r="G21" i="5"/>
  <c r="M21" i="5" s="1"/>
  <c r="F21" i="5"/>
  <c r="O20" i="5"/>
  <c r="K20" i="5"/>
  <c r="J20" i="5"/>
  <c r="H20" i="5"/>
  <c r="L20" i="5" s="1"/>
  <c r="F20" i="5"/>
  <c r="G20" i="5" s="1"/>
  <c r="I19" i="5"/>
  <c r="D19" i="5"/>
  <c r="C19" i="5"/>
  <c r="C7" i="5" s="1"/>
  <c r="S18" i="5"/>
  <c r="O18" i="5"/>
  <c r="P18" i="5" s="1"/>
  <c r="L18" i="5"/>
  <c r="N18" i="5" s="1"/>
  <c r="J18" i="5"/>
  <c r="H18" i="5"/>
  <c r="Q18" i="5" s="1"/>
  <c r="G18" i="5"/>
  <c r="M18" i="5" s="1"/>
  <c r="P17" i="5"/>
  <c r="M17" i="5"/>
  <c r="H17" i="5"/>
  <c r="Q17" i="5" s="1"/>
  <c r="G17" i="5"/>
  <c r="S17" i="5" s="1"/>
  <c r="O16" i="5"/>
  <c r="P16" i="5" s="1"/>
  <c r="J16" i="5"/>
  <c r="H16" i="5"/>
  <c r="Q16" i="5" s="1"/>
  <c r="G16" i="5"/>
  <c r="M16" i="5" s="1"/>
  <c r="O15" i="5"/>
  <c r="K15" i="5"/>
  <c r="Q15" i="5" s="1"/>
  <c r="J15" i="5"/>
  <c r="H15" i="5"/>
  <c r="F15" i="5"/>
  <c r="G15" i="5" s="1"/>
  <c r="M15" i="5" s="1"/>
  <c r="O14" i="5"/>
  <c r="K14" i="5"/>
  <c r="P14" i="5" s="1"/>
  <c r="J14" i="5"/>
  <c r="H14" i="5"/>
  <c r="F14" i="5"/>
  <c r="G14" i="5" s="1"/>
  <c r="M14" i="5" s="1"/>
  <c r="O13" i="5"/>
  <c r="K13" i="5"/>
  <c r="J13" i="5"/>
  <c r="H13" i="5"/>
  <c r="Q13" i="5" s="1"/>
  <c r="F13" i="5"/>
  <c r="G13" i="5" s="1"/>
  <c r="M13" i="5" s="1"/>
  <c r="O12" i="5"/>
  <c r="K12" i="5"/>
  <c r="P12" i="5" s="1"/>
  <c r="J12" i="5"/>
  <c r="H12" i="5"/>
  <c r="L12" i="5" s="1"/>
  <c r="F12" i="5"/>
  <c r="G12" i="5" s="1"/>
  <c r="M12" i="5" s="1"/>
  <c r="O11" i="5"/>
  <c r="K11" i="5"/>
  <c r="Q11" i="5" s="1"/>
  <c r="J11" i="5"/>
  <c r="H11" i="5"/>
  <c r="F11" i="5"/>
  <c r="G11" i="5" s="1"/>
  <c r="M11" i="5" s="1"/>
  <c r="O10" i="5"/>
  <c r="K10" i="5"/>
  <c r="J10" i="5"/>
  <c r="R10" i="5" s="1"/>
  <c r="H10" i="5"/>
  <c r="G10" i="5"/>
  <c r="O9" i="5"/>
  <c r="K9" i="5"/>
  <c r="J9" i="5"/>
  <c r="H9" i="5"/>
  <c r="F9" i="5"/>
  <c r="I8" i="5"/>
  <c r="I7" i="5" s="1"/>
  <c r="H8" i="5"/>
  <c r="E8" i="5"/>
  <c r="D8" i="5"/>
  <c r="D7" i="5" s="1"/>
  <c r="C8" i="5"/>
  <c r="E24" i="1"/>
  <c r="G24" i="1" s="1"/>
  <c r="D24" i="1"/>
  <c r="C24" i="1"/>
  <c r="B24" i="1"/>
  <c r="E23" i="1"/>
  <c r="G23" i="1" s="1"/>
  <c r="D23" i="1"/>
  <c r="C23" i="1"/>
  <c r="F23" i="1" s="1"/>
  <c r="B23" i="1"/>
  <c r="E22" i="1"/>
  <c r="D22" i="1"/>
  <c r="C22" i="1"/>
  <c r="B22" i="1"/>
  <c r="F21" i="1"/>
  <c r="E21" i="1"/>
  <c r="D21" i="1"/>
  <c r="C21" i="1"/>
  <c r="B21" i="1"/>
  <c r="E20" i="1"/>
  <c r="G20" i="1" s="1"/>
  <c r="D20" i="1"/>
  <c r="C20" i="1"/>
  <c r="B20" i="1"/>
  <c r="E19" i="1"/>
  <c r="D19" i="1"/>
  <c r="G19" i="1" s="1"/>
  <c r="C19" i="1"/>
  <c r="F19" i="1" s="1"/>
  <c r="B19" i="1"/>
  <c r="F18" i="1"/>
  <c r="E18" i="1"/>
  <c r="D18" i="1"/>
  <c r="C18" i="1"/>
  <c r="B18" i="1"/>
  <c r="E17" i="1"/>
  <c r="D17" i="1"/>
  <c r="C17" i="1"/>
  <c r="F17" i="1" s="1"/>
  <c r="B17" i="1"/>
  <c r="E16" i="1"/>
  <c r="D16" i="1"/>
  <c r="C16" i="1"/>
  <c r="B16" i="1"/>
  <c r="E15" i="1"/>
  <c r="D15" i="1"/>
  <c r="C15" i="1"/>
  <c r="B15" i="1"/>
  <c r="G14" i="1"/>
  <c r="E14" i="1"/>
  <c r="D14" i="1"/>
  <c r="C14" i="1"/>
  <c r="H14" i="1" s="1"/>
  <c r="B14" i="1"/>
  <c r="E13" i="1"/>
  <c r="D13" i="1"/>
  <c r="C13" i="1"/>
  <c r="F13" i="1" s="1"/>
  <c r="B13" i="1"/>
  <c r="E12" i="1"/>
  <c r="D12" i="1"/>
  <c r="C12" i="1"/>
  <c r="B12" i="1"/>
  <c r="E11" i="1"/>
  <c r="E9" i="1" s="1"/>
  <c r="D11" i="1"/>
  <c r="C11" i="1"/>
  <c r="B11" i="1"/>
  <c r="E10" i="1"/>
  <c r="G10" i="1" s="1"/>
  <c r="D10" i="1"/>
  <c r="C10" i="1"/>
  <c r="H10" i="1" s="1"/>
  <c r="B10" i="1"/>
  <c r="R73" i="5" l="1"/>
  <c r="M73" i="5"/>
  <c r="M62" i="5"/>
  <c r="S62" i="5"/>
  <c r="R100" i="5"/>
  <c r="G15" i="1"/>
  <c r="G22" i="1"/>
  <c r="F24" i="1"/>
  <c r="F8" i="5"/>
  <c r="P10" i="5"/>
  <c r="S13" i="5"/>
  <c r="R16" i="5"/>
  <c r="R17" i="5"/>
  <c r="S20" i="5"/>
  <c r="L23" i="5"/>
  <c r="M24" i="5"/>
  <c r="N24" i="5" s="1"/>
  <c r="G27" i="5"/>
  <c r="M27" i="5" s="1"/>
  <c r="G28" i="5"/>
  <c r="S28" i="5" s="1"/>
  <c r="P34" i="5"/>
  <c r="P35" i="5"/>
  <c r="R39" i="5"/>
  <c r="Q43" i="5"/>
  <c r="Q50" i="5"/>
  <c r="Q57" i="5"/>
  <c r="Q60" i="5"/>
  <c r="R71" i="5"/>
  <c r="S75" i="5"/>
  <c r="L76" i="5"/>
  <c r="L82" i="5"/>
  <c r="R84" i="5"/>
  <c r="F91" i="5"/>
  <c r="L50" i="5"/>
  <c r="F12" i="1"/>
  <c r="L13" i="5"/>
  <c r="L16" i="5"/>
  <c r="N16" i="5" s="1"/>
  <c r="F19" i="5"/>
  <c r="M23" i="5"/>
  <c r="R25" i="5"/>
  <c r="R33" i="5"/>
  <c r="Q34" i="5"/>
  <c r="N38" i="5"/>
  <c r="R47" i="5"/>
  <c r="S65" i="5"/>
  <c r="Q71" i="5"/>
  <c r="L75" i="5"/>
  <c r="P82" i="5"/>
  <c r="G97" i="5"/>
  <c r="R13" i="5"/>
  <c r="L34" i="5"/>
  <c r="L35" i="5"/>
  <c r="N35" i="5" s="1"/>
  <c r="H16" i="1"/>
  <c r="L15" i="5"/>
  <c r="P20" i="5"/>
  <c r="P21" i="5"/>
  <c r="Q24" i="5"/>
  <c r="L27" i="5"/>
  <c r="N27" i="5" s="1"/>
  <c r="L29" i="5"/>
  <c r="N29" i="5" s="1"/>
  <c r="Q31" i="5"/>
  <c r="L38" i="5"/>
  <c r="R59" i="5"/>
  <c r="M61" i="5"/>
  <c r="R62" i="5"/>
  <c r="R68" i="5"/>
  <c r="L70" i="5"/>
  <c r="N70" i="5" s="1"/>
  <c r="P71" i="5"/>
  <c r="P77" i="5"/>
  <c r="Q82" i="5"/>
  <c r="K83" i="5"/>
  <c r="N87" i="5"/>
  <c r="G91" i="5"/>
  <c r="S91" i="5" s="1"/>
  <c r="J97" i="5"/>
  <c r="H20" i="1"/>
  <c r="R20" i="5"/>
  <c r="N39" i="5"/>
  <c r="R52" i="5"/>
  <c r="F14" i="1"/>
  <c r="H21" i="1"/>
  <c r="K8" i="5"/>
  <c r="Q8" i="5" s="1"/>
  <c r="P13" i="5"/>
  <c r="R15" i="5"/>
  <c r="S16" i="5"/>
  <c r="R18" i="5"/>
  <c r="J19" i="5"/>
  <c r="R24" i="5"/>
  <c r="M26" i="5"/>
  <c r="R27" i="5"/>
  <c r="S32" i="5"/>
  <c r="M35" i="5"/>
  <c r="R38" i="5"/>
  <c r="M40" i="5"/>
  <c r="N40" i="5" s="1"/>
  <c r="M58" i="5"/>
  <c r="L61" i="5"/>
  <c r="N61" i="5" s="1"/>
  <c r="L73" i="5"/>
  <c r="P75" i="5"/>
  <c r="Q77" i="5"/>
  <c r="M79" i="5"/>
  <c r="N79" i="5" s="1"/>
  <c r="M80" i="5"/>
  <c r="P83" i="5"/>
  <c r="H91" i="5"/>
  <c r="O96" i="5"/>
  <c r="J8" i="5"/>
  <c r="R23" i="5"/>
  <c r="L40" i="5"/>
  <c r="M44" i="5"/>
  <c r="S50" i="5"/>
  <c r="L58" i="5"/>
  <c r="N58" i="5" s="1"/>
  <c r="R80" i="5"/>
  <c r="O8" i="5"/>
  <c r="G18" i="1"/>
  <c r="M10" i="5"/>
  <c r="Q21" i="5"/>
  <c r="N25" i="5"/>
  <c r="Q32" i="5"/>
  <c r="P38" i="5"/>
  <c r="R44" i="5"/>
  <c r="M63" i="5"/>
  <c r="M69" i="5"/>
  <c r="L77" i="5"/>
  <c r="S80" i="5"/>
  <c r="M105" i="5"/>
  <c r="S44" i="5"/>
  <c r="M65" i="5"/>
  <c r="N65" i="5" s="1"/>
  <c r="M78" i="5"/>
  <c r="Q91" i="5"/>
  <c r="M100" i="5"/>
  <c r="G11" i="1"/>
  <c r="F16" i="1"/>
  <c r="B9" i="1"/>
  <c r="B8" i="1" s="1"/>
  <c r="F10" i="1"/>
  <c r="F15" i="1"/>
  <c r="H17" i="1"/>
  <c r="H22" i="1"/>
  <c r="D9" i="1"/>
  <c r="D8" i="1" s="1"/>
  <c r="G12" i="1"/>
  <c r="H24" i="1"/>
  <c r="F11" i="1"/>
  <c r="H12" i="1"/>
  <c r="H13" i="1"/>
  <c r="G16" i="1"/>
  <c r="H18" i="1"/>
  <c r="F20" i="1"/>
  <c r="F22" i="1"/>
  <c r="R29" i="5"/>
  <c r="M29" i="5"/>
  <c r="M53" i="5"/>
  <c r="G51" i="5"/>
  <c r="R53" i="5"/>
  <c r="O7" i="5"/>
  <c r="N12" i="5"/>
  <c r="S27" i="5"/>
  <c r="R12" i="5"/>
  <c r="N13" i="5"/>
  <c r="R26" i="5"/>
  <c r="N21" i="5"/>
  <c r="M28" i="5"/>
  <c r="N28" i="5" s="1"/>
  <c r="R30" i="5"/>
  <c r="M30" i="5"/>
  <c r="R14" i="5"/>
  <c r="N15" i="5"/>
  <c r="S30" i="5"/>
  <c r="S9" i="5"/>
  <c r="R11" i="5"/>
  <c r="Q20" i="5"/>
  <c r="S26" i="5"/>
  <c r="S31" i="5"/>
  <c r="R31" i="5"/>
  <c r="M31" i="5"/>
  <c r="N31" i="5" s="1"/>
  <c r="R45" i="5"/>
  <c r="M45" i="5"/>
  <c r="N45" i="5" s="1"/>
  <c r="R49" i="5"/>
  <c r="S105" i="5"/>
  <c r="Q105" i="5"/>
  <c r="P105" i="5"/>
  <c r="G9" i="5"/>
  <c r="P9" i="5"/>
  <c r="L10" i="5"/>
  <c r="S11" i="5"/>
  <c r="L14" i="5"/>
  <c r="N14" i="5" s="1"/>
  <c r="G19" i="5"/>
  <c r="R19" i="5" s="1"/>
  <c r="L26" i="5"/>
  <c r="N26" i="5" s="1"/>
  <c r="P29" i="5"/>
  <c r="L30" i="5"/>
  <c r="Q42" i="5"/>
  <c r="P42" i="5"/>
  <c r="S42" i="5"/>
  <c r="R46" i="5"/>
  <c r="S49" i="5"/>
  <c r="M50" i="5"/>
  <c r="N50" i="5" s="1"/>
  <c r="P53" i="5"/>
  <c r="S53" i="5"/>
  <c r="S64" i="5"/>
  <c r="Q64" i="5"/>
  <c r="P64" i="5"/>
  <c r="N73" i="5"/>
  <c r="Q73" i="5"/>
  <c r="L98" i="5"/>
  <c r="N98" i="5" s="1"/>
  <c r="H97" i="5"/>
  <c r="L105" i="5"/>
  <c r="Q9" i="5"/>
  <c r="Q10" i="5"/>
  <c r="L11" i="5"/>
  <c r="N11" i="5" s="1"/>
  <c r="P11" i="5"/>
  <c r="S12" i="5"/>
  <c r="Q14" i="5"/>
  <c r="P15" i="5"/>
  <c r="H19" i="5"/>
  <c r="L22" i="5"/>
  <c r="Q26" i="5"/>
  <c r="Q29" i="5"/>
  <c r="R32" i="5"/>
  <c r="S35" i="5"/>
  <c r="R37" i="5"/>
  <c r="S38" i="5"/>
  <c r="Q39" i="5"/>
  <c r="P39" i="5"/>
  <c r="S39" i="5"/>
  <c r="Q40" i="5"/>
  <c r="L44" i="5"/>
  <c r="N44" i="5" s="1"/>
  <c r="Q44" i="5"/>
  <c r="M46" i="5"/>
  <c r="L48" i="5"/>
  <c r="N48" i="5" s="1"/>
  <c r="L49" i="5"/>
  <c r="N49" i="5" s="1"/>
  <c r="S52" i="5"/>
  <c r="L52" i="5"/>
  <c r="K51" i="5"/>
  <c r="L53" i="5"/>
  <c r="R55" i="5"/>
  <c r="M55" i="5"/>
  <c r="N55" i="5" s="1"/>
  <c r="S55" i="5"/>
  <c r="O51" i="5"/>
  <c r="L64" i="5"/>
  <c r="N64" i="5" s="1"/>
  <c r="Q68" i="5"/>
  <c r="P68" i="5"/>
  <c r="N75" i="5"/>
  <c r="N77" i="5"/>
  <c r="L78" i="5"/>
  <c r="N78" i="5" s="1"/>
  <c r="Q78" i="5"/>
  <c r="J99" i="5"/>
  <c r="S104" i="5"/>
  <c r="K99" i="5"/>
  <c r="Q104" i="5"/>
  <c r="P104" i="5"/>
  <c r="P99" i="5" s="1"/>
  <c r="P96" i="5" s="1"/>
  <c r="S106" i="5"/>
  <c r="Q106" i="5"/>
  <c r="P106" i="5"/>
  <c r="S10" i="5"/>
  <c r="Q12" i="5"/>
  <c r="S14" i="5"/>
  <c r="M20" i="5"/>
  <c r="S22" i="5"/>
  <c r="Q27" i="5"/>
  <c r="S29" i="5"/>
  <c r="P30" i="5"/>
  <c r="Q63" i="5"/>
  <c r="P63" i="5"/>
  <c r="M74" i="5"/>
  <c r="G99" i="5"/>
  <c r="G96" i="5" s="1"/>
  <c r="L9" i="5"/>
  <c r="S15" i="5"/>
  <c r="K19" i="5"/>
  <c r="Q30" i="5"/>
  <c r="N36" i="5"/>
  <c r="Q37" i="5"/>
  <c r="L37" i="5"/>
  <c r="F51" i="5"/>
  <c r="N57" i="5"/>
  <c r="Q62" i="5"/>
  <c r="L62" i="5"/>
  <c r="S63" i="5"/>
  <c r="N86" i="5"/>
  <c r="L83" i="5"/>
  <c r="L17" i="5"/>
  <c r="N17" i="5" s="1"/>
  <c r="E19" i="5"/>
  <c r="E7" i="5" s="1"/>
  <c r="M22" i="5"/>
  <c r="Q33" i="5"/>
  <c r="P33" i="5"/>
  <c r="S33" i="5"/>
  <c r="M37" i="5"/>
  <c r="M42" i="5"/>
  <c r="N42" i="5" s="1"/>
  <c r="S45" i="5"/>
  <c r="P48" i="5"/>
  <c r="P49" i="5"/>
  <c r="J51" i="5"/>
  <c r="Q53" i="5"/>
  <c r="Q54" i="5"/>
  <c r="L54" i="5"/>
  <c r="N54" i="5" s="1"/>
  <c r="H51" i="5"/>
  <c r="Q65" i="5"/>
  <c r="P65" i="5"/>
  <c r="S66" i="5"/>
  <c r="R66" i="5"/>
  <c r="Q69" i="5"/>
  <c r="S69" i="5"/>
  <c r="P69" i="5"/>
  <c r="R70" i="5"/>
  <c r="L74" i="5"/>
  <c r="N92" i="5"/>
  <c r="F99" i="5"/>
  <c r="F96" i="5" s="1"/>
  <c r="M102" i="5"/>
  <c r="N102" i="5" s="1"/>
  <c r="R102" i="5"/>
  <c r="Q103" i="5"/>
  <c r="H99" i="5"/>
  <c r="N104" i="5"/>
  <c r="N106" i="5"/>
  <c r="P32" i="5"/>
  <c r="M34" i="5"/>
  <c r="N34" i="5" s="1"/>
  <c r="S40" i="5"/>
  <c r="S56" i="5"/>
  <c r="R56" i="5"/>
  <c r="R57" i="5"/>
  <c r="P57" i="5"/>
  <c r="L60" i="5"/>
  <c r="S60" i="5"/>
  <c r="Q61" i="5"/>
  <c r="P61" i="5"/>
  <c r="S61" i="5"/>
  <c r="L69" i="5"/>
  <c r="N69" i="5" s="1"/>
  <c r="S71" i="5"/>
  <c r="N72" i="5"/>
  <c r="M76" i="5"/>
  <c r="N76" i="5" s="1"/>
  <c r="R76" i="5"/>
  <c r="R78" i="5"/>
  <c r="L80" i="5"/>
  <c r="N80" i="5" s="1"/>
  <c r="Q80" i="5"/>
  <c r="G83" i="5"/>
  <c r="R83" i="5" s="1"/>
  <c r="Q83" i="5"/>
  <c r="S83" i="5"/>
  <c r="M84" i="5"/>
  <c r="N90" i="5"/>
  <c r="Q98" i="5"/>
  <c r="L46" i="5"/>
  <c r="N46" i="5" s="1"/>
  <c r="R54" i="5"/>
  <c r="M54" i="5"/>
  <c r="S54" i="5"/>
  <c r="S57" i="5"/>
  <c r="Q58" i="5"/>
  <c r="P58" i="5"/>
  <c r="S58" i="5"/>
  <c r="Q59" i="5"/>
  <c r="P59" i="5"/>
  <c r="S59" i="5"/>
  <c r="L63" i="5"/>
  <c r="N63" i="5" s="1"/>
  <c r="R64" i="5"/>
  <c r="R65" i="5"/>
  <c r="Q67" i="5"/>
  <c r="L67" i="5"/>
  <c r="N67" i="5" s="1"/>
  <c r="R69" i="5"/>
  <c r="Q70" i="5"/>
  <c r="P70" i="5"/>
  <c r="S70" i="5"/>
  <c r="R75" i="5"/>
  <c r="S78" i="5"/>
  <c r="M81" i="5"/>
  <c r="N81" i="5" s="1"/>
  <c r="N82" i="5"/>
  <c r="S88" i="5"/>
  <c r="R88" i="5"/>
  <c r="M88" i="5"/>
  <c r="N88" i="5" s="1"/>
  <c r="N89" i="5"/>
  <c r="M93" i="5"/>
  <c r="M91" i="5" s="1"/>
  <c r="L93" i="5"/>
  <c r="Q100" i="5"/>
  <c r="L100" i="5"/>
  <c r="R104" i="5"/>
  <c r="R105" i="5"/>
  <c r="R106" i="5"/>
  <c r="L59" i="5"/>
  <c r="N59" i="5" s="1"/>
  <c r="L68" i="5"/>
  <c r="N68" i="5" s="1"/>
  <c r="L71" i="5"/>
  <c r="N71" i="5" s="1"/>
  <c r="S72" i="5"/>
  <c r="S73" i="5"/>
  <c r="S74" i="5"/>
  <c r="S79" i="5"/>
  <c r="S97" i="5"/>
  <c r="P98" i="5"/>
  <c r="M103" i="5"/>
  <c r="N103" i="5" s="1"/>
  <c r="R103" i="5"/>
  <c r="M60" i="5"/>
  <c r="H9" i="1"/>
  <c r="E8" i="1"/>
  <c r="H11" i="1"/>
  <c r="H15" i="1"/>
  <c r="H19" i="1"/>
  <c r="H23" i="1"/>
  <c r="C9" i="1"/>
  <c r="C8" i="1" s="1"/>
  <c r="F8" i="1" s="1"/>
  <c r="G9" i="1"/>
  <c r="G13" i="1"/>
  <c r="G17" i="1"/>
  <c r="G21" i="1"/>
  <c r="R91" i="5" l="1"/>
  <c r="N105" i="5"/>
  <c r="N30" i="5"/>
  <c r="R28" i="5"/>
  <c r="N62" i="5"/>
  <c r="P51" i="5"/>
  <c r="N23" i="5"/>
  <c r="N60" i="5"/>
  <c r="F7" i="5"/>
  <c r="F9" i="1"/>
  <c r="R51" i="5"/>
  <c r="N10" i="5"/>
  <c r="R97" i="5"/>
  <c r="M83" i="5"/>
  <c r="N84" i="5"/>
  <c r="N83" i="5" s="1"/>
  <c r="R99" i="5"/>
  <c r="J96" i="5"/>
  <c r="R96" i="5" s="1"/>
  <c r="M51" i="5"/>
  <c r="Q19" i="5"/>
  <c r="P19" i="5"/>
  <c r="S19" i="5"/>
  <c r="Q99" i="5"/>
  <c r="S99" i="5"/>
  <c r="K96" i="5"/>
  <c r="K7" i="5" s="1"/>
  <c r="N74" i="5"/>
  <c r="N22" i="5"/>
  <c r="P8" i="5"/>
  <c r="M96" i="5"/>
  <c r="M19" i="5"/>
  <c r="S51" i="5"/>
  <c r="Q51" i="5"/>
  <c r="H96" i="5"/>
  <c r="H7" i="5" s="1"/>
  <c r="L97" i="5"/>
  <c r="Q97" i="5"/>
  <c r="L19" i="5"/>
  <c r="L99" i="5"/>
  <c r="N100" i="5"/>
  <c r="N99" i="5" s="1"/>
  <c r="N37" i="5"/>
  <c r="N52" i="5"/>
  <c r="L51" i="5"/>
  <c r="N93" i="5"/>
  <c r="N91" i="5" s="1"/>
  <c r="L91" i="5"/>
  <c r="L8" i="5"/>
  <c r="N53" i="5"/>
  <c r="G8" i="5"/>
  <c r="M9" i="5"/>
  <c r="M8" i="5" s="1"/>
  <c r="M7" i="5" s="1"/>
  <c r="N20" i="5"/>
  <c r="N19" i="5" s="1"/>
  <c r="R9" i="5"/>
  <c r="G8" i="1"/>
  <c r="H8" i="1"/>
  <c r="Q7" i="5" l="1"/>
  <c r="N9" i="5"/>
  <c r="N8" i="5" s="1"/>
  <c r="S96" i="5"/>
  <c r="Q96" i="5"/>
  <c r="J7" i="5"/>
  <c r="G7" i="5"/>
  <c r="S7" i="5" s="1"/>
  <c r="S8" i="5"/>
  <c r="R8" i="5"/>
  <c r="P7" i="5"/>
  <c r="N51" i="5"/>
  <c r="L96" i="5"/>
  <c r="L7" i="5" s="1"/>
  <c r="N97" i="5"/>
  <c r="N96" i="5" s="1"/>
  <c r="N7" i="5" l="1"/>
  <c r="R7" i="5"/>
</calcChain>
</file>

<file path=xl/sharedStrings.xml><?xml version="1.0" encoding="utf-8"?>
<sst xmlns="http://schemas.openxmlformats.org/spreadsheetml/2006/main" count="214" uniqueCount="182">
  <si>
    <t xml:space="preserve">  </t>
  </si>
  <si>
    <t>DIRECCIÓN DE ADMINISTRACIÓN Y FINANZAS - DEPARTAMENTO DE PRESUPUESTO</t>
  </si>
  <si>
    <t>INFORME DE EJECUCIÓN PRESUPUESTARIA (FUNCIONAMIENTO)</t>
  </si>
  <si>
    <t>AL 3I DE AGOSTO DEL 2021</t>
  </si>
  <si>
    <t>(en balboas)</t>
  </si>
  <si>
    <t>CTA.</t>
  </si>
  <si>
    <t>DESCRIPCIÓN</t>
  </si>
  <si>
    <t xml:space="preserve">(1)     PRESUPUESTO LEY                                                                                                                 
</t>
  </si>
  <si>
    <t>(2)    CONTENSIÓN DEL GASTO</t>
  </si>
  <si>
    <t xml:space="preserve"> (3) PRESUPUESTO LEY                                
</t>
  </si>
  <si>
    <t xml:space="preserve">(4)                    CREDITOS EXTRAORDINARIOS / TRASLADOS   </t>
  </si>
  <si>
    <t xml:space="preserve"> (5) PRESUPUESTO MODIFICADO                                
</t>
  </si>
  <si>
    <t xml:space="preserve">(6)                 ASIGNADO 
</t>
  </si>
  <si>
    <t xml:space="preserve">(7)                    SALDO DE CONTRATOS POR EJECUTAR </t>
  </si>
  <si>
    <t xml:space="preserve">(8)            COMPROMISO MENSUAL      </t>
  </si>
  <si>
    <t>(9)     COMPROMISOS   /EJECUTADO</t>
  </si>
  <si>
    <t xml:space="preserve">(10)                 SALDO A LA FECHA                  (H6-K9)           </t>
  </si>
  <si>
    <t>(11)                     SALDO POR ASIGNAR          (G5-H6)</t>
  </si>
  <si>
    <t>(12)                                   SALDO ANUAL        (I7-L10-M11)</t>
  </si>
  <si>
    <t xml:space="preserve">(13)                 PAGADO </t>
  </si>
  <si>
    <t>(14)                      POR PAGAR A LA FECHA          (K9-O13)</t>
  </si>
  <si>
    <t>% EJEC. (COMP. EJEC. VS PRES. ASIG.) 
(K9/H6)</t>
  </si>
  <si>
    <t>% EJEC. (COMP. MENS. VS PRES. MOD.) 
(J8/G5)</t>
  </si>
  <si>
    <t>(13)                     % EJEC. (COMP. EJEC.  VS PRES. MOD.) 
(K9/G5)</t>
  </si>
  <si>
    <t>FUNCIONAMIENTO</t>
  </si>
  <si>
    <t>SERVICIOS PERSONALES</t>
  </si>
  <si>
    <t>PERSONAL FIJO (SUELDOS)</t>
  </si>
  <si>
    <t>030</t>
  </si>
  <si>
    <t>GASTOS DE REPRESENTACION FIJOS</t>
  </si>
  <si>
    <t>050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</si>
  <si>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</si>
  <si>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</si>
  <si>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</si>
  <si>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</si>
  <si>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</si>
  <si>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</si>
  <si>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</si>
  <si>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</si>
  <si>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</si>
  <si>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</si>
  <si>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SUELDOS</t>
  </si>
  <si>
    <t>096</t>
  </si>
  <si>
    <t>III MES</t>
  </si>
  <si>
    <t>099</t>
  </si>
  <si>
    <t>CONTRIBUCIONES A LA SEGURIDAD</t>
  </si>
  <si>
    <t>SERVICIOS NO PERSONALES</t>
  </si>
  <si>
    <t>101</t>
  </si>
  <si>
    <t>DE EDIFICIOS Y LOCALES</t>
  </si>
  <si>
    <t>103</t>
  </si>
  <si>
    <t>DE EQUIPO DE OFICINA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</si>
  <si>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</si>
  <si>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</si>
  <si>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</si>
  <si>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</si>
  <si>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</si>
  <si>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</si>
  <si>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</si>
  <si>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</si>
  <si>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</si>
  <si>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</si>
  <si>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</si>
  <si>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</si>
  <si>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 xml:space="preserve">SERVICIOS DE TELEFONIA CELULAR </t>
  </si>
  <si>
    <t>120</t>
  </si>
  <si>
    <t>IMPRESION, ENCUADERNACION Y OTROS</t>
  </si>
  <si>
    <t>ANUNCIOS Y AVISOS</t>
  </si>
  <si>
    <t>132</t>
  </si>
  <si>
    <t>PROMOCION Y PUBLICIDAD</t>
  </si>
  <si>
    <t>VIÁTICOSS DENTRO DEL PAIS</t>
  </si>
  <si>
    <t>142</t>
  </si>
  <si>
    <t>VIATICOS EN EL EXTERIOR</t>
  </si>
  <si>
    <t>151</t>
  </si>
  <si>
    <t>TRANSPORTE DENTRO DEL PAIS</t>
  </si>
  <si>
    <t>TRANSPORTE DE OTRAS PERRSONAS</t>
  </si>
  <si>
    <t>TRANSPRTE DE BIENES</t>
  </si>
  <si>
    <t>164</t>
  </si>
  <si>
    <t>GASTOS DE SEGUROS</t>
  </si>
  <si>
    <t>SERVICIOS COMERCIALES</t>
  </si>
  <si>
    <t>169</t>
  </si>
  <si>
    <t>OTROS SERVICIOS COMERCIALES Y FINANCIEROS</t>
  </si>
  <si>
    <t>CONSULTORÍAS</t>
  </si>
  <si>
    <t>172</t>
  </si>
  <si>
    <t>SERVICIOS ESPECIALES</t>
  </si>
  <si>
    <t>181</t>
  </si>
  <si>
    <t>MANTENIMIENTO Y REP. DE EDIFICIOS</t>
  </si>
  <si>
    <t>182</t>
  </si>
  <si>
    <t>MANT. Y REP. DE MAQUINARIAS Y OTROS EQ.</t>
  </si>
  <si>
    <t xml:space="preserve">MANT. Y REP. DE EQUIPO COMPUTACIÓN </t>
  </si>
  <si>
    <t>SERVICIOS BÁSICOS</t>
  </si>
  <si>
    <t xml:space="preserve"> VIÁTICOS</t>
  </si>
  <si>
    <t>TRANSPORTE DE PERSONAS Y B</t>
  </si>
  <si>
    <t>SERVICIOS COMERCIALES Y FINANCIEROS</t>
  </si>
  <si>
    <t>MANTENIMIENTO Y REPARACIÓN</t>
  </si>
  <si>
    <t>MATERIALES Y SUMINISTROS</t>
  </si>
  <si>
    <t>ALIMENTO PARA CONSUMO HUMANO</t>
  </si>
  <si>
    <t>203</t>
  </si>
  <si>
    <t>BEBIDAS</t>
  </si>
  <si>
    <t>ACABADO TEXTIL</t>
  </si>
  <si>
    <t>CALZADO</t>
  </si>
  <si>
    <t>PRENDAS DE VESTIR</t>
  </si>
  <si>
    <t>221</t>
  </si>
  <si>
    <t>DIESEL</t>
  </si>
  <si>
    <t>223</t>
  </si>
  <si>
    <t>GASOLINA</t>
  </si>
  <si>
    <t>224</t>
  </si>
  <si>
    <t>LUBRICANTES</t>
  </si>
  <si>
    <t>IMPRESOS</t>
  </si>
  <si>
    <t>232</t>
  </si>
  <si>
    <t>PAPELERIA</t>
  </si>
  <si>
    <t>OTROS PRODUCTOS DE PAPEL Y CARTON</t>
  </si>
  <si>
    <t xml:space="preserve">INSECTICIDAS, FUMIGANTES Y OTROS </t>
  </si>
  <si>
    <t>243</t>
  </si>
  <si>
    <t>PINTURAS, COLORANTES Y TINTES</t>
  </si>
  <si>
    <t>249</t>
  </si>
  <si>
    <t>OTROS PRODUCTOS QUÍMICOS</t>
  </si>
  <si>
    <t>CEMENTO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</si>
  <si>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</si>
  <si>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</si>
  <si>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</si>
  <si>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</si>
  <si>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</si>
  <si>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</si>
  <si>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</si>
  <si>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</si>
  <si>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</si>
  <si>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</si>
  <si>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HERRAMIENTAS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</si>
  <si>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</si>
  <si>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</si>
  <si>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</si>
  <si>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</si>
  <si>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</si>
  <si>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</si>
  <si>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</si>
  <si>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</si>
  <si>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</si>
  <si>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</si>
  <si>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</si>
  <si>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</si>
  <si>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</si>
  <si>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</si>
  <si>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TEXTILES Y VESTUARIO</t>
  </si>
  <si>
    <t xml:space="preserve"> PRODUCTOS VARIOS</t>
  </si>
  <si>
    <t>MAQUINARIA Y EQUIPOS VARIOS</t>
  </si>
  <si>
    <t>301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</si>
  <si>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</si>
  <si>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</si>
  <si>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</si>
  <si>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</si>
  <si>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</si>
  <si>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</si>
  <si>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</si>
  <si>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</si>
  <si>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</si>
  <si>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TRANSFERENCIAS CORRIENTES</t>
  </si>
  <si>
    <t>INDEMNIZACIONES LABORALES</t>
  </si>
  <si>
    <t>624</t>
  </si>
  <si>
    <t>CAPACITACION Y ESTUDIO</t>
  </si>
  <si>
    <t>629</t>
  </si>
  <si>
    <t>OTRAS BECAS</t>
  </si>
  <si>
    <t>A PERSONAS</t>
  </si>
  <si>
    <t>INVERSIÓN</t>
  </si>
  <si>
    <t>AUTORIDAD NACIONAL DE TRANSPARENCIA Y ACCESO A LA INFORMACIÓN</t>
  </si>
  <si>
    <t xml:space="preserve"> EJECUCIÓN PRESUPUESTARIA POR OBJETO DE GASTO</t>
  </si>
  <si>
    <t>AL 31 DE AGOSTO   DEL 2021</t>
  </si>
  <si>
    <t>(En Balboas)</t>
  </si>
  <si>
    <t>DETALLE</t>
  </si>
  <si>
    <t>PRESUPUESTO</t>
  </si>
  <si>
    <t xml:space="preserve">COMPROMISOS EJECUTADO </t>
  </si>
  <si>
    <t>SALDO POR ASIGNAR A LA FECHA</t>
  </si>
  <si>
    <t>VARIACIÓN PORCENTUAL EJECUTADO VS PRESUPUESTO MODI. (6)=(4/2)*100</t>
  </si>
  <si>
    <t>LEY</t>
  </si>
  <si>
    <t>MODIFICADO</t>
  </si>
  <si>
    <t>ASIGNADO</t>
  </si>
  <si>
    <t>(5)=(2)-(3)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</si>
  <si>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</si>
  <si>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SUELDOS CRÉDITO RECONOCIDO</t>
  </si>
  <si>
    <t>III MES CRÉDITO RECONOCIDO</t>
  </si>
  <si>
    <t>C</t>
  </si>
  <si>
    <t>G</t>
  </si>
  <si>
    <t>H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</si>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</sst>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B_/_._-;\-* #,##0.00\ _B_/_._-;_-* &quot;-&quot;??\ _B_/_._-;_-@_-"/>
    <numFmt numFmtId="165" formatCode="_-* #,##0.00\ _€_-;\-* #,##0.00\ _€_-;_-* &quot;-&quot;??\ _€_-;_-@_-"/>
    <numFmt numFmtId="166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indexed="64"/>
      </right>
      <top/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Font="1" applyAlignment="1">
      <alignment vertical="center"/>
    </xf>
    <xf numFmtId="166" fontId="3" fillId="2" borderId="7" xfId="1" applyNumberFormat="1" applyFont="1" applyFill="1" applyBorder="1" applyAlignment="1">
      <alignment horizontal="center" vertical="center" wrapText="1"/>
    </xf>
    <xf numFmtId="166" fontId="3" fillId="2" borderId="8" xfId="1" applyNumberFormat="1" applyFont="1" applyFill="1" applyBorder="1" applyAlignment="1">
      <alignment horizontal="center" vertical="center" wrapText="1"/>
    </xf>
    <xf numFmtId="166" fontId="3" fillId="2" borderId="2" xfId="1" applyNumberFormat="1" applyFont="1" applyFill="1" applyBorder="1" applyAlignment="1">
      <alignment horizontal="left" vertical="center" wrapText="1"/>
    </xf>
    <xf numFmtId="166" fontId="3" fillId="2" borderId="10" xfId="1" applyNumberFormat="1" applyFont="1" applyFill="1" applyBorder="1" applyAlignment="1">
      <alignment horizontal="left" vertical="center" wrapText="1"/>
    </xf>
    <xf numFmtId="166" fontId="3" fillId="2" borderId="9" xfId="1" applyNumberFormat="1" applyFont="1" applyFill="1" applyBorder="1" applyAlignment="1">
      <alignment horizontal="center" vertical="center" wrapText="1"/>
    </xf>
    <xf numFmtId="166" fontId="3" fillId="0" borderId="21" xfId="1" applyNumberFormat="1" applyFont="1" applyBorder="1" applyAlignment="1">
      <alignment vertical="center" wrapText="1"/>
    </xf>
    <xf numFmtId="166" fontId="4" fillId="0" borderId="6" xfId="1" applyNumberFormat="1" applyFont="1" applyBorder="1" applyAlignment="1">
      <alignment horizontal="right" vertical="center" wrapText="1"/>
    </xf>
    <xf numFmtId="166" fontId="4" fillId="0" borderId="22" xfId="1" applyNumberFormat="1" applyFont="1" applyFill="1" applyBorder="1" applyAlignment="1">
      <alignment horizontal="right" vertical="center" wrapText="1"/>
    </xf>
    <xf numFmtId="166" fontId="3" fillId="0" borderId="22" xfId="1" applyNumberFormat="1" applyFont="1" applyFill="1" applyBorder="1" applyAlignment="1">
      <alignment horizontal="right" vertical="center" wrapText="1"/>
    </xf>
    <xf numFmtId="166" fontId="4" fillId="0" borderId="23" xfId="1" applyNumberFormat="1" applyFont="1" applyBorder="1" applyAlignment="1">
      <alignment horizontal="right" vertical="center"/>
    </xf>
    <xf numFmtId="9" fontId="5" fillId="0" borderId="6" xfId="2" applyNumberFormat="1" applyFont="1" applyFill="1" applyBorder="1" applyAlignment="1">
      <alignment horizontal="right" vertical="center" wrapText="1"/>
    </xf>
    <xf numFmtId="9" fontId="5" fillId="0" borderId="22" xfId="2" applyNumberFormat="1" applyFont="1" applyFill="1" applyBorder="1" applyAlignment="1">
      <alignment horizontal="right" vertical="center" wrapText="1"/>
    </xf>
    <xf numFmtId="16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6" fontId="3" fillId="0" borderId="24" xfId="1" applyNumberFormat="1" applyFont="1" applyBorder="1" applyAlignment="1">
      <alignment horizontal="left" vertical="center" wrapText="1"/>
    </xf>
    <xf numFmtId="3" fontId="7" fillId="3" borderId="9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166" fontId="3" fillId="0" borderId="0" xfId="1" applyNumberFormat="1" applyFont="1" applyBorder="1" applyAlignment="1">
      <alignment horizontal="right" vertical="center"/>
    </xf>
    <xf numFmtId="9" fontId="7" fillId="0" borderId="9" xfId="2" applyNumberFormat="1" applyFont="1" applyFill="1" applyBorder="1" applyAlignment="1">
      <alignment horizontal="right" vertical="center" wrapText="1"/>
    </xf>
    <xf numFmtId="9" fontId="7" fillId="0" borderId="25" xfId="2" applyNumberFormat="1" applyFont="1" applyFill="1" applyBorder="1" applyAlignment="1">
      <alignment horizontal="right" vertical="center" wrapText="1"/>
    </xf>
    <xf numFmtId="166" fontId="4" fillId="0" borderId="24" xfId="1" applyNumberFormat="1" applyFont="1" applyBorder="1" applyAlignment="1">
      <alignment vertical="center" wrapText="1"/>
    </xf>
    <xf numFmtId="3" fontId="5" fillId="3" borderId="9" xfId="0" applyNumberFormat="1" applyFont="1" applyFill="1" applyBorder="1" applyAlignment="1">
      <alignment vertical="center"/>
    </xf>
    <xf numFmtId="166" fontId="4" fillId="0" borderId="0" xfId="1" applyNumberFormat="1" applyFont="1" applyBorder="1" applyAlignment="1">
      <alignment horizontal="right" vertical="center"/>
    </xf>
    <xf numFmtId="9" fontId="5" fillId="0" borderId="9" xfId="2" applyNumberFormat="1" applyFont="1" applyFill="1" applyBorder="1" applyAlignment="1">
      <alignment horizontal="right" vertical="center" wrapText="1"/>
    </xf>
    <xf numFmtId="9" fontId="5" fillId="0" borderId="25" xfId="2" applyNumberFormat="1" applyFont="1" applyFill="1" applyBorder="1" applyAlignment="1">
      <alignment horizontal="right" vertical="center" wrapText="1"/>
    </xf>
    <xf numFmtId="0" fontId="8" fillId="0" borderId="26" xfId="0" applyFont="1" applyFill="1" applyBorder="1" applyAlignment="1" applyProtection="1">
      <alignment horizontal="left" wrapText="1"/>
      <protection locked="0"/>
    </xf>
    <xf numFmtId="166" fontId="3" fillId="0" borderId="24" xfId="1" applyNumberFormat="1" applyFont="1" applyBorder="1" applyAlignment="1">
      <alignment vertical="center" wrapText="1"/>
    </xf>
    <xf numFmtId="3" fontId="7" fillId="3" borderId="7" xfId="0" applyNumberFormat="1" applyFont="1" applyFill="1" applyBorder="1" applyAlignment="1">
      <alignment vertical="center"/>
    </xf>
    <xf numFmtId="166" fontId="3" fillId="0" borderId="1" xfId="1" applyNumberFormat="1" applyFont="1" applyBorder="1" applyAlignment="1">
      <alignment horizontal="right" vertical="center"/>
    </xf>
    <xf numFmtId="9" fontId="7" fillId="0" borderId="7" xfId="2" applyNumberFormat="1" applyFont="1" applyFill="1" applyBorder="1" applyAlignment="1">
      <alignment horizontal="right" vertical="center" wrapText="1"/>
    </xf>
    <xf numFmtId="9" fontId="7" fillId="0" borderId="27" xfId="2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166" fontId="3" fillId="0" borderId="27" xfId="1" applyNumberFormat="1" applyFont="1" applyBorder="1" applyAlignment="1">
      <alignment horizontal="right" vertical="center"/>
    </xf>
    <xf numFmtId="9" fontId="7" fillId="0" borderId="28" xfId="2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9" fontId="10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0" xfId="0" applyFont="1" applyFill="1" applyBorder="1"/>
    <xf numFmtId="0" fontId="11" fillId="0" borderId="0" xfId="0" applyFont="1" applyFill="1" applyBorder="1"/>
    <xf numFmtId="3" fontId="10" fillId="0" borderId="6" xfId="0" applyNumberFormat="1" applyFont="1" applyFill="1" applyBorder="1" applyAlignment="1">
      <alignment wrapText="1"/>
    </xf>
    <xf numFmtId="9" fontId="10" fillId="0" borderId="6" xfId="0" applyNumberFormat="1" applyFont="1" applyFill="1" applyBorder="1" applyAlignment="1">
      <alignment horizontal="right" vertical="center" wrapText="1"/>
    </xf>
    <xf numFmtId="0" fontId="10" fillId="0" borderId="7" xfId="0" applyFont="1" applyFill="1" applyBorder="1" applyAlignment="1"/>
    <xf numFmtId="0" fontId="10" fillId="0" borderId="8" xfId="0" applyFont="1" applyFill="1" applyBorder="1" applyAlignment="1">
      <alignment horizontal="left" wrapText="1"/>
    </xf>
    <xf numFmtId="3" fontId="10" fillId="0" borderId="8" xfId="0" applyNumberFormat="1" applyFont="1" applyFill="1" applyBorder="1" applyAlignment="1"/>
    <xf numFmtId="3" fontId="10" fillId="0" borderId="7" xfId="0" applyNumberFormat="1" applyFont="1" applyFill="1" applyBorder="1" applyAlignment="1"/>
    <xf numFmtId="3" fontId="10" fillId="0" borderId="5" xfId="0" applyNumberFormat="1" applyFont="1" applyFill="1" applyBorder="1" applyAlignment="1"/>
    <xf numFmtId="9" fontId="10" fillId="0" borderId="8" xfId="0" applyNumberFormat="1" applyFont="1" applyFill="1" applyBorder="1" applyAlignment="1">
      <alignment horizontal="right" wrapText="1"/>
    </xf>
    <xf numFmtId="0" fontId="13" fillId="0" borderId="9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protection locked="0"/>
    </xf>
    <xf numFmtId="3" fontId="13" fillId="0" borderId="10" xfId="0" applyNumberFormat="1" applyFont="1" applyFill="1" applyBorder="1" applyAlignment="1" applyProtection="1">
      <protection locked="0"/>
    </xf>
    <xf numFmtId="3" fontId="14" fillId="0" borderId="10" xfId="0" applyNumberFormat="1" applyFont="1" applyFill="1" applyBorder="1" applyAlignment="1">
      <alignment wrapText="1"/>
    </xf>
    <xf numFmtId="3" fontId="14" fillId="0" borderId="9" xfId="0" applyNumberFormat="1" applyFont="1" applyFill="1" applyBorder="1" applyAlignment="1">
      <alignment wrapText="1"/>
    </xf>
    <xf numFmtId="9" fontId="14" fillId="0" borderId="10" xfId="0" applyNumberFormat="1" applyFont="1" applyFill="1" applyBorder="1" applyAlignment="1">
      <alignment horizontal="right" vertical="center" wrapText="1"/>
    </xf>
    <xf numFmtId="3" fontId="11" fillId="0" borderId="10" xfId="0" applyNumberFormat="1" applyFont="1" applyFill="1" applyBorder="1" applyAlignment="1" applyProtection="1">
      <protection locked="0"/>
    </xf>
    <xf numFmtId="0" fontId="13" fillId="0" borderId="9" xfId="0" quotePrefix="1" applyFont="1" applyFill="1" applyBorder="1" applyAlignment="1" applyProtection="1">
      <alignment horizontal="left"/>
      <protection locked="0"/>
    </xf>
    <xf numFmtId="3" fontId="11" fillId="0" borderId="10" xfId="0" applyNumberFormat="1" applyFont="1" applyFill="1" applyBorder="1"/>
    <xf numFmtId="0" fontId="13" fillId="0" borderId="7" xfId="0" quotePrefix="1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left" wrapText="1"/>
      <protection locked="0"/>
    </xf>
    <xf numFmtId="0" fontId="10" fillId="0" borderId="6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left" vertical="center" wrapText="1"/>
    </xf>
    <xf numFmtId="3" fontId="10" fillId="0" borderId="5" xfId="0" applyNumberFormat="1" applyFont="1" applyFill="1" applyBorder="1" applyAlignment="1">
      <alignment vertical="center"/>
    </xf>
    <xf numFmtId="4" fontId="10" fillId="0" borderId="5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4" fillId="0" borderId="6" xfId="0" applyNumberFormat="1" applyFont="1" applyFill="1" applyBorder="1" applyAlignment="1">
      <alignment wrapText="1"/>
    </xf>
    <xf numFmtId="9" fontId="10" fillId="0" borderId="5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/>
    </xf>
    <xf numFmtId="0" fontId="13" fillId="0" borderId="2" xfId="0" applyFont="1" applyFill="1" applyBorder="1" applyAlignment="1" applyProtection="1">
      <alignment horizontal="left"/>
      <protection locked="0"/>
    </xf>
    <xf numFmtId="3" fontId="14" fillId="0" borderId="10" xfId="0" applyNumberFormat="1" applyFont="1" applyFill="1" applyBorder="1" applyAlignment="1" applyProtection="1">
      <protection locked="0"/>
    </xf>
    <xf numFmtId="9" fontId="14" fillId="0" borderId="6" xfId="0" applyNumberFormat="1" applyFont="1" applyFill="1" applyBorder="1" applyAlignment="1">
      <alignment horizontal="right" vertical="center" wrapText="1"/>
    </xf>
    <xf numFmtId="3" fontId="10" fillId="0" borderId="10" xfId="0" applyNumberFormat="1" applyFont="1" applyFill="1" applyBorder="1" applyAlignment="1">
      <alignment vertical="center"/>
    </xf>
    <xf numFmtId="0" fontId="10" fillId="0" borderId="6" xfId="0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>
      <alignment vertical="center" wrapText="1"/>
    </xf>
    <xf numFmtId="3" fontId="10" fillId="0" borderId="6" xfId="0" applyNumberFormat="1" applyFont="1" applyFill="1" applyBorder="1" applyAlignment="1">
      <alignment vertical="center" wrapText="1"/>
    </xf>
    <xf numFmtId="9" fontId="10" fillId="0" borderId="12" xfId="0" applyNumberFormat="1" applyFont="1" applyFill="1" applyBorder="1" applyAlignment="1">
      <alignment horizontal="right" vertical="center" wrapText="1"/>
    </xf>
    <xf numFmtId="9" fontId="14" fillId="0" borderId="13" xfId="0" applyNumberFormat="1" applyFont="1" applyFill="1" applyBorder="1" applyAlignment="1">
      <alignment horizontal="right" vertical="center" wrapText="1"/>
    </xf>
    <xf numFmtId="0" fontId="13" fillId="0" borderId="10" xfId="0" applyFont="1" applyFill="1" applyBorder="1" applyProtection="1">
      <protection locked="0"/>
    </xf>
    <xf numFmtId="0" fontId="12" fillId="0" borderId="6" xfId="0" applyFont="1" applyFill="1" applyBorder="1" applyAlignment="1" applyProtection="1">
      <alignment horizontal="right"/>
      <protection locked="0"/>
    </xf>
    <xf numFmtId="0" fontId="12" fillId="0" borderId="5" xfId="0" applyFont="1" applyFill="1" applyBorder="1" applyAlignment="1" applyProtection="1">
      <protection locked="0"/>
    </xf>
    <xf numFmtId="3" fontId="12" fillId="0" borderId="5" xfId="0" applyNumberFormat="1" applyFont="1" applyFill="1" applyBorder="1" applyAlignment="1" applyProtection="1">
      <protection locked="0"/>
    </xf>
    <xf numFmtId="3" fontId="12" fillId="0" borderId="6" xfId="0" applyNumberFormat="1" applyFont="1" applyFill="1" applyBorder="1" applyAlignment="1" applyProtection="1">
      <protection locked="0"/>
    </xf>
    <xf numFmtId="3" fontId="10" fillId="0" borderId="5" xfId="0" applyNumberFormat="1" applyFont="1" applyFill="1" applyBorder="1" applyAlignment="1" applyProtection="1">
      <protection locked="0"/>
    </xf>
    <xf numFmtId="3" fontId="12" fillId="0" borderId="10" xfId="0" applyNumberFormat="1" applyFont="1" applyFill="1" applyBorder="1" applyAlignment="1" applyProtection="1">
      <protection locked="0"/>
    </xf>
    <xf numFmtId="3" fontId="10" fillId="0" borderId="10" xfId="0" applyNumberFormat="1" applyFont="1" applyFill="1" applyBorder="1" applyAlignment="1" applyProtection="1">
      <protection locked="0"/>
    </xf>
    <xf numFmtId="0" fontId="9" fillId="0" borderId="6" xfId="0" applyFont="1" applyFill="1" applyBorder="1"/>
    <xf numFmtId="165" fontId="9" fillId="0" borderId="5" xfId="3" applyFont="1" applyFill="1" applyBorder="1"/>
    <xf numFmtId="3" fontId="9" fillId="0" borderId="6" xfId="0" applyNumberFormat="1" applyFont="1" applyFill="1" applyBorder="1"/>
    <xf numFmtId="3" fontId="9" fillId="0" borderId="12" xfId="0" applyNumberFormat="1" applyFont="1" applyFill="1" applyBorder="1"/>
    <xf numFmtId="3" fontId="10" fillId="0" borderId="5" xfId="0" applyNumberFormat="1" applyFont="1" applyFill="1" applyBorder="1" applyAlignment="1">
      <alignment wrapText="1"/>
    </xf>
    <xf numFmtId="9" fontId="10" fillId="0" borderId="3" xfId="0" applyNumberFormat="1" applyFont="1" applyFill="1" applyBorder="1" applyAlignment="1">
      <alignment horizontal="right" vertical="center" wrapText="1"/>
    </xf>
    <xf numFmtId="3" fontId="10" fillId="0" borderId="9" xfId="0" applyNumberFormat="1" applyFont="1" applyFill="1" applyBorder="1" applyAlignment="1">
      <alignment wrapText="1"/>
    </xf>
    <xf numFmtId="3" fontId="13" fillId="0" borderId="2" xfId="0" applyNumberFormat="1" applyFont="1" applyFill="1" applyBorder="1" applyAlignment="1" applyProtection="1">
      <protection locked="0"/>
    </xf>
    <xf numFmtId="3" fontId="13" fillId="0" borderId="3" xfId="0" applyNumberFormat="1" applyFont="1" applyFill="1" applyBorder="1" applyAlignment="1" applyProtection="1">
      <protection locked="0"/>
    </xf>
    <xf numFmtId="3" fontId="14" fillId="0" borderId="14" xfId="0" applyNumberFormat="1" applyFont="1" applyFill="1" applyBorder="1" applyAlignment="1" applyProtection="1">
      <protection locked="0"/>
    </xf>
    <xf numFmtId="3" fontId="14" fillId="0" borderId="2" xfId="0" applyNumberFormat="1" applyFont="1" applyFill="1" applyBorder="1" applyAlignment="1">
      <alignment wrapText="1"/>
    </xf>
    <xf numFmtId="3" fontId="13" fillId="0" borderId="15" xfId="0" applyNumberFormat="1" applyFont="1" applyFill="1" applyBorder="1" applyAlignment="1" applyProtection="1">
      <protection locked="0"/>
    </xf>
    <xf numFmtId="3" fontId="12" fillId="0" borderId="12" xfId="0" applyNumberFormat="1" applyFont="1" applyFill="1" applyBorder="1" applyAlignment="1" applyProtection="1">
      <protection locked="0"/>
    </xf>
    <xf numFmtId="3" fontId="12" fillId="0" borderId="13" xfId="0" applyNumberFormat="1" applyFont="1" applyFill="1" applyBorder="1" applyAlignment="1" applyProtection="1">
      <protection locked="0"/>
    </xf>
    <xf numFmtId="0" fontId="13" fillId="0" borderId="3" xfId="0" applyFont="1" applyFill="1" applyBorder="1" applyProtection="1">
      <protection locked="0"/>
    </xf>
    <xf numFmtId="9" fontId="14" fillId="0" borderId="3" xfId="0" applyNumberFormat="1" applyFont="1" applyFill="1" applyBorder="1" applyAlignment="1">
      <alignment horizontal="right" vertical="center" wrapText="1"/>
    </xf>
    <xf numFmtId="9" fontId="14" fillId="0" borderId="2" xfId="0" applyNumberFormat="1" applyFont="1" applyFill="1" applyBorder="1" applyAlignment="1">
      <alignment horizontal="right" vertical="center" wrapText="1"/>
    </xf>
    <xf numFmtId="3" fontId="13" fillId="0" borderId="9" xfId="0" applyNumberFormat="1" applyFont="1" applyFill="1" applyBorder="1" applyAlignment="1" applyProtection="1">
      <protection locked="0"/>
    </xf>
    <xf numFmtId="3" fontId="13" fillId="0" borderId="16" xfId="0" applyNumberFormat="1" applyFont="1" applyFill="1" applyBorder="1" applyAlignment="1" applyProtection="1">
      <protection locked="0"/>
    </xf>
    <xf numFmtId="9" fontId="14" fillId="0" borderId="9" xfId="0" applyNumberFormat="1" applyFont="1" applyFill="1" applyBorder="1" applyAlignment="1">
      <alignment horizontal="right" vertical="center" wrapText="1"/>
    </xf>
    <xf numFmtId="0" fontId="13" fillId="0" borderId="7" xfId="0" applyFont="1" applyFill="1" applyBorder="1" applyAlignment="1" applyProtection="1">
      <alignment horizontal="left"/>
      <protection locked="0"/>
    </xf>
    <xf numFmtId="0" fontId="13" fillId="0" borderId="8" xfId="0" applyFont="1" applyFill="1" applyBorder="1" applyProtection="1">
      <protection locked="0"/>
    </xf>
    <xf numFmtId="3" fontId="13" fillId="0" borderId="7" xfId="0" applyNumberFormat="1" applyFont="1" applyFill="1" applyBorder="1" applyAlignment="1" applyProtection="1">
      <protection locked="0"/>
    </xf>
    <xf numFmtId="3" fontId="13" fillId="0" borderId="8" xfId="0" applyNumberFormat="1" applyFont="1" applyFill="1" applyBorder="1" applyAlignment="1" applyProtection="1">
      <protection locked="0"/>
    </xf>
    <xf numFmtId="3" fontId="13" fillId="0" borderId="17" xfId="0" applyNumberFormat="1" applyFont="1" applyFill="1" applyBorder="1" applyAlignment="1" applyProtection="1">
      <protection locked="0"/>
    </xf>
    <xf numFmtId="3" fontId="14" fillId="0" borderId="7" xfId="0" applyNumberFormat="1" applyFont="1" applyFill="1" applyBorder="1" applyAlignment="1">
      <alignment wrapText="1"/>
    </xf>
    <xf numFmtId="3" fontId="13" fillId="0" borderId="18" xfId="0" applyNumberFormat="1" applyFont="1" applyFill="1" applyBorder="1" applyAlignment="1" applyProtection="1">
      <protection locked="0"/>
    </xf>
    <xf numFmtId="9" fontId="14" fillId="0" borderId="8" xfId="0" applyNumberFormat="1" applyFont="1" applyFill="1" applyBorder="1" applyAlignment="1">
      <alignment horizontal="right" vertical="center" wrapText="1"/>
    </xf>
    <xf numFmtId="9" fontId="14" fillId="0" borderId="7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/>
    <xf numFmtId="9" fontId="11" fillId="0" borderId="0" xfId="0" applyNumberFormat="1" applyFont="1" applyFill="1" applyBorder="1"/>
    <xf numFmtId="3" fontId="9" fillId="0" borderId="5" xfId="3" applyNumberFormat="1" applyFont="1" applyFill="1" applyBorder="1"/>
    <xf numFmtId="3" fontId="10" fillId="0" borderId="2" xfId="0" applyNumberFormat="1" applyFont="1" applyFill="1" applyBorder="1" applyAlignment="1">
      <alignment horizontal="center" vertical="center" wrapText="1"/>
    </xf>
    <xf numFmtId="3" fontId="11" fillId="0" borderId="9" xfId="0" applyNumberFormat="1" applyFont="1" applyFill="1" applyBorder="1"/>
    <xf numFmtId="3" fontId="11" fillId="0" borderId="2" xfId="0" applyNumberFormat="1" applyFont="1" applyFill="1" applyBorder="1"/>
    <xf numFmtId="3" fontId="11" fillId="0" borderId="7" xfId="0" applyNumberFormat="1" applyFont="1" applyFill="1" applyBorder="1"/>
    <xf numFmtId="3" fontId="15" fillId="0" borderId="11" xfId="0" applyNumberFormat="1" applyFont="1" applyFill="1" applyBorder="1"/>
    <xf numFmtId="3" fontId="9" fillId="0" borderId="5" xfId="0" applyNumberFormat="1" applyFont="1" applyFill="1" applyBorder="1"/>
    <xf numFmtId="3" fontId="14" fillId="0" borderId="10" xfId="0" applyNumberFormat="1" applyFont="1" applyFill="1" applyBorder="1"/>
    <xf numFmtId="3" fontId="14" fillId="0" borderId="0" xfId="0" applyNumberFormat="1" applyFont="1" applyFill="1" applyBorder="1"/>
    <xf numFmtId="166" fontId="2" fillId="0" borderId="0" xfId="1" applyNumberFormat="1" applyFont="1" applyAlignment="1">
      <alignment horizontal="center" vertical="center"/>
    </xf>
    <xf numFmtId="166" fontId="3" fillId="0" borderId="0" xfId="1" applyNumberFormat="1" applyFont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166" fontId="3" fillId="2" borderId="2" xfId="1" applyNumberFormat="1" applyFont="1" applyFill="1" applyBorder="1" applyAlignment="1">
      <alignment horizontal="center" vertical="center" wrapText="1"/>
    </xf>
    <xf numFmtId="166" fontId="3" fillId="2" borderId="9" xfId="1" applyNumberFormat="1" applyFont="1" applyFill="1" applyBorder="1" applyAlignment="1">
      <alignment horizontal="center" vertical="center" wrapText="1"/>
    </xf>
    <xf numFmtId="166" fontId="3" fillId="2" borderId="4" xfId="1" applyNumberFormat="1" applyFont="1" applyFill="1" applyBorder="1" applyAlignment="1">
      <alignment horizontal="center" vertical="center" wrapText="1"/>
    </xf>
    <xf numFmtId="166" fontId="3" fillId="2" borderId="12" xfId="1" applyNumberFormat="1" applyFont="1" applyFill="1" applyBorder="1" applyAlignment="1">
      <alignment horizontal="center" vertical="center" wrapText="1"/>
    </xf>
    <xf numFmtId="166" fontId="3" fillId="2" borderId="5" xfId="1" applyNumberFormat="1" applyFont="1" applyFill="1" applyBorder="1" applyAlignment="1">
      <alignment horizontal="center" vertical="center" wrapText="1"/>
    </xf>
    <xf numFmtId="166" fontId="3" fillId="2" borderId="3" xfId="1" applyNumberFormat="1" applyFont="1" applyFill="1" applyBorder="1" applyAlignment="1">
      <alignment horizontal="center" vertical="center" wrapText="1"/>
    </xf>
    <xf numFmtId="166" fontId="3" fillId="2" borderId="19" xfId="1" applyNumberFormat="1" applyFont="1" applyFill="1" applyBorder="1" applyAlignment="1">
      <alignment horizontal="center" vertical="center" wrapText="1"/>
    </xf>
    <xf numFmtId="166" fontId="3" fillId="2" borderId="20" xfId="1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3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</cellXfs>
  <cellStyles count="4">
    <cellStyle name="Millares" xfId="1" builtinId="3"/>
    <cellStyle name="Millares 3" xfId="3" xr:uid="{00000000-0005-0000-0000-000001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518160</xdr:colOff>
      <xdr:row>0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0" y="0"/>
          <a:ext cx="146304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41</xdr:row>
      <xdr:rowOff>0</xdr:rowOff>
    </xdr:from>
    <xdr:to>
      <xdr:col>16</xdr:col>
      <xdr:colOff>518160</xdr:colOff>
      <xdr:row>41</xdr:row>
      <xdr:rowOff>30480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0" y="12016740"/>
          <a:ext cx="146304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37</xdr:row>
      <xdr:rowOff>0</xdr:rowOff>
    </xdr:from>
    <xdr:to>
      <xdr:col>16</xdr:col>
      <xdr:colOff>518160</xdr:colOff>
      <xdr:row>37</xdr:row>
      <xdr:rowOff>30480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0" y="10919460"/>
          <a:ext cx="146304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39</xdr:row>
      <xdr:rowOff>0</xdr:rowOff>
    </xdr:from>
    <xdr:to>
      <xdr:col>16</xdr:col>
      <xdr:colOff>518160</xdr:colOff>
      <xdr:row>39</xdr:row>
      <xdr:rowOff>30480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0" y="11468100"/>
          <a:ext cx="146304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66</xdr:row>
      <xdr:rowOff>0</xdr:rowOff>
    </xdr:from>
    <xdr:to>
      <xdr:col>16</xdr:col>
      <xdr:colOff>518160</xdr:colOff>
      <xdr:row>66</xdr:row>
      <xdr:rowOff>30480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0" y="19309080"/>
          <a:ext cx="146304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egantes/Desktop/PRESUPUESTO%202021/8-INF+DE+EJECUCION%20PRESUPUESTARIA%20%20AGOST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01"/>
      <sheetName val="EJECUCION 02"/>
      <sheetName val="MARZO SISTEMA"/>
      <sheetName val="EJECUCION 03"/>
      <sheetName val="EJECUCION 04"/>
      <sheetName val="EJECUCION 05 "/>
      <sheetName val="EJECUCION 06"/>
      <sheetName val="SISTEMA 07"/>
      <sheetName val="JULIO SISTEMA"/>
      <sheetName val="EJECUCION 07 (3)"/>
      <sheetName val="Hoja1"/>
      <sheetName val="ULTIMA AGOSTO"/>
      <sheetName val="EJECUCION 08"/>
      <sheetName val="EJEC. SISTEMA AGOSTO"/>
      <sheetName val="RESUMEN 08"/>
      <sheetName val="GASTO FUNC 08"/>
      <sheetName val="CONSOLIDADO 08"/>
      <sheetName val="EJEC. RUBRO 08"/>
      <sheetName val="ING. RECA 08"/>
      <sheetName val="INGRESO 08"/>
      <sheetName val="ING. GASTO 08"/>
      <sheetName val="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">
          <cell r="C9">
            <v>1133760</v>
          </cell>
          <cell r="G9">
            <v>1293773</v>
          </cell>
          <cell r="H9">
            <v>915853</v>
          </cell>
          <cell r="K9">
            <v>741103.34</v>
          </cell>
        </row>
        <row r="10">
          <cell r="C10">
            <v>54000</v>
          </cell>
          <cell r="G10">
            <v>51000</v>
          </cell>
          <cell r="H10">
            <v>33000</v>
          </cell>
          <cell r="K10">
            <v>30000</v>
          </cell>
        </row>
        <row r="11">
          <cell r="C11">
            <v>31350</v>
          </cell>
          <cell r="G11">
            <v>38020</v>
          </cell>
          <cell r="H11">
            <v>27570</v>
          </cell>
          <cell r="K11">
            <v>19636.18</v>
          </cell>
        </row>
        <row r="12">
          <cell r="C12">
            <v>153281</v>
          </cell>
          <cell r="G12">
            <v>174286</v>
          </cell>
          <cell r="H12">
            <v>123194</v>
          </cell>
          <cell r="K12">
            <v>78162.679999999993</v>
          </cell>
        </row>
        <row r="13">
          <cell r="C13">
            <v>17546</v>
          </cell>
          <cell r="G13">
            <v>20465</v>
          </cell>
          <cell r="H13">
            <v>14617</v>
          </cell>
          <cell r="K13">
            <v>9131.52</v>
          </cell>
        </row>
        <row r="14">
          <cell r="C14">
            <v>18680</v>
          </cell>
          <cell r="G14">
            <v>21337</v>
          </cell>
          <cell r="H14">
            <v>15109</v>
          </cell>
          <cell r="K14">
            <v>13225.09</v>
          </cell>
        </row>
        <row r="15">
          <cell r="C15">
            <v>3509</v>
          </cell>
          <cell r="G15">
            <v>4098</v>
          </cell>
          <cell r="H15">
            <v>2930</v>
          </cell>
          <cell r="K15">
            <v>2014.95</v>
          </cell>
        </row>
        <row r="16">
          <cell r="C16">
            <v>0</v>
          </cell>
          <cell r="G16">
            <v>11891</v>
          </cell>
          <cell r="H16">
            <v>11891</v>
          </cell>
          <cell r="K16">
            <v>9820</v>
          </cell>
        </row>
        <row r="17">
          <cell r="C17">
            <v>0</v>
          </cell>
          <cell r="G17">
            <v>364</v>
          </cell>
          <cell r="H17">
            <v>364</v>
          </cell>
          <cell r="K17">
            <v>108.47</v>
          </cell>
        </row>
        <row r="18">
          <cell r="C18">
            <v>0</v>
          </cell>
          <cell r="G18">
            <v>2184</v>
          </cell>
          <cell r="H18">
            <v>2184</v>
          </cell>
          <cell r="K18">
            <v>1856.79</v>
          </cell>
        </row>
        <row r="19">
          <cell r="C19">
            <v>472457</v>
          </cell>
          <cell r="G19">
            <v>483816</v>
          </cell>
          <cell r="H19">
            <v>447289</v>
          </cell>
          <cell r="K19">
            <v>256905.79999999996</v>
          </cell>
        </row>
        <row r="51">
          <cell r="C51">
            <v>54867</v>
          </cell>
          <cell r="G51">
            <v>68128</v>
          </cell>
          <cell r="H51">
            <v>66628</v>
          </cell>
          <cell r="K51">
            <v>37642.31</v>
          </cell>
        </row>
        <row r="83">
          <cell r="C83">
            <v>0</v>
          </cell>
          <cell r="G83">
            <v>43174</v>
          </cell>
          <cell r="H83">
            <v>43174</v>
          </cell>
          <cell r="K83">
            <v>37732.35</v>
          </cell>
        </row>
        <row r="91">
          <cell r="C91">
            <v>268</v>
          </cell>
          <cell r="G91">
            <v>15995</v>
          </cell>
          <cell r="H91">
            <v>15995</v>
          </cell>
          <cell r="K91">
            <v>15726.5</v>
          </cell>
        </row>
        <row r="96">
          <cell r="C96">
            <v>0</v>
          </cell>
          <cell r="G96">
            <v>100000</v>
          </cell>
          <cell r="H96">
            <v>100000</v>
          </cell>
          <cell r="K96">
            <v>84858.89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A25" sqref="A25:XFD25"/>
    </sheetView>
  </sheetViews>
  <sheetFormatPr baseColWidth="10" defaultColWidth="11.42578125" defaultRowHeight="15" x14ac:dyDescent="0.25"/>
  <cols>
    <col min="1" max="1" width="22.7109375" style="1" customWidth="1"/>
    <col min="2" max="2" width="10" style="15" customWidth="1"/>
    <col min="3" max="3" width="11.42578125" style="40"/>
    <col min="4" max="4" width="10" style="1" customWidth="1"/>
    <col min="5" max="5" width="13.7109375" style="40" customWidth="1"/>
    <col min="6" max="7" width="11.42578125" style="1"/>
    <col min="8" max="8" width="14" style="1" customWidth="1"/>
    <col min="9" max="256" width="11.42578125" style="1"/>
    <col min="257" max="257" width="22.7109375" style="1" customWidth="1"/>
    <col min="258" max="258" width="10" style="1" customWidth="1"/>
    <col min="259" max="259" width="11.42578125" style="1"/>
    <col min="260" max="260" width="10" style="1" customWidth="1"/>
    <col min="261" max="261" width="13.7109375" style="1" customWidth="1"/>
    <col min="262" max="263" width="11.42578125" style="1"/>
    <col min="264" max="264" width="14" style="1" customWidth="1"/>
    <col min="265" max="512" width="11.42578125" style="1"/>
    <col min="513" max="513" width="22.7109375" style="1" customWidth="1"/>
    <col min="514" max="514" width="10" style="1" customWidth="1"/>
    <col min="515" max="515" width="11.42578125" style="1"/>
    <col min="516" max="516" width="10" style="1" customWidth="1"/>
    <col min="517" max="517" width="13.7109375" style="1" customWidth="1"/>
    <col min="518" max="519" width="11.42578125" style="1"/>
    <col min="520" max="520" width="14" style="1" customWidth="1"/>
    <col min="521" max="768" width="11.42578125" style="1"/>
    <col min="769" max="769" width="22.7109375" style="1" customWidth="1"/>
    <col min="770" max="770" width="10" style="1" customWidth="1"/>
    <col min="771" max="771" width="11.42578125" style="1"/>
    <col min="772" max="772" width="10" style="1" customWidth="1"/>
    <col min="773" max="773" width="13.7109375" style="1" customWidth="1"/>
    <col min="774" max="775" width="11.42578125" style="1"/>
    <col min="776" max="776" width="14" style="1" customWidth="1"/>
    <col min="777" max="1024" width="11.42578125" style="1"/>
    <col min="1025" max="1025" width="22.7109375" style="1" customWidth="1"/>
    <col min="1026" max="1026" width="10" style="1" customWidth="1"/>
    <col min="1027" max="1027" width="11.42578125" style="1"/>
    <col min="1028" max="1028" width="10" style="1" customWidth="1"/>
    <col min="1029" max="1029" width="13.7109375" style="1" customWidth="1"/>
    <col min="1030" max="1031" width="11.42578125" style="1"/>
    <col min="1032" max="1032" width="14" style="1" customWidth="1"/>
    <col min="1033" max="1280" width="11.42578125" style="1"/>
    <col min="1281" max="1281" width="22.7109375" style="1" customWidth="1"/>
    <col min="1282" max="1282" width="10" style="1" customWidth="1"/>
    <col min="1283" max="1283" width="11.42578125" style="1"/>
    <col min="1284" max="1284" width="10" style="1" customWidth="1"/>
    <col min="1285" max="1285" width="13.7109375" style="1" customWidth="1"/>
    <col min="1286" max="1287" width="11.42578125" style="1"/>
    <col min="1288" max="1288" width="14" style="1" customWidth="1"/>
    <col min="1289" max="1536" width="11.42578125" style="1"/>
    <col min="1537" max="1537" width="22.7109375" style="1" customWidth="1"/>
    <col min="1538" max="1538" width="10" style="1" customWidth="1"/>
    <col min="1539" max="1539" width="11.42578125" style="1"/>
    <col min="1540" max="1540" width="10" style="1" customWidth="1"/>
    <col min="1541" max="1541" width="13.7109375" style="1" customWidth="1"/>
    <col min="1542" max="1543" width="11.42578125" style="1"/>
    <col min="1544" max="1544" width="14" style="1" customWidth="1"/>
    <col min="1545" max="1792" width="11.42578125" style="1"/>
    <col min="1793" max="1793" width="22.7109375" style="1" customWidth="1"/>
    <col min="1794" max="1794" width="10" style="1" customWidth="1"/>
    <col min="1795" max="1795" width="11.42578125" style="1"/>
    <col min="1796" max="1796" width="10" style="1" customWidth="1"/>
    <col min="1797" max="1797" width="13.7109375" style="1" customWidth="1"/>
    <col min="1798" max="1799" width="11.42578125" style="1"/>
    <col min="1800" max="1800" width="14" style="1" customWidth="1"/>
    <col min="1801" max="2048" width="11.42578125" style="1"/>
    <col min="2049" max="2049" width="22.7109375" style="1" customWidth="1"/>
    <col min="2050" max="2050" width="10" style="1" customWidth="1"/>
    <col min="2051" max="2051" width="11.42578125" style="1"/>
    <col min="2052" max="2052" width="10" style="1" customWidth="1"/>
    <col min="2053" max="2053" width="13.7109375" style="1" customWidth="1"/>
    <col min="2054" max="2055" width="11.42578125" style="1"/>
    <col min="2056" max="2056" width="14" style="1" customWidth="1"/>
    <col min="2057" max="2304" width="11.42578125" style="1"/>
    <col min="2305" max="2305" width="22.7109375" style="1" customWidth="1"/>
    <col min="2306" max="2306" width="10" style="1" customWidth="1"/>
    <col min="2307" max="2307" width="11.42578125" style="1"/>
    <col min="2308" max="2308" width="10" style="1" customWidth="1"/>
    <col min="2309" max="2309" width="13.7109375" style="1" customWidth="1"/>
    <col min="2310" max="2311" width="11.42578125" style="1"/>
    <col min="2312" max="2312" width="14" style="1" customWidth="1"/>
    <col min="2313" max="2560" width="11.42578125" style="1"/>
    <col min="2561" max="2561" width="22.7109375" style="1" customWidth="1"/>
    <col min="2562" max="2562" width="10" style="1" customWidth="1"/>
    <col min="2563" max="2563" width="11.42578125" style="1"/>
    <col min="2564" max="2564" width="10" style="1" customWidth="1"/>
    <col min="2565" max="2565" width="13.7109375" style="1" customWidth="1"/>
    <col min="2566" max="2567" width="11.42578125" style="1"/>
    <col min="2568" max="2568" width="14" style="1" customWidth="1"/>
    <col min="2569" max="2816" width="11.42578125" style="1"/>
    <col min="2817" max="2817" width="22.7109375" style="1" customWidth="1"/>
    <col min="2818" max="2818" width="10" style="1" customWidth="1"/>
    <col min="2819" max="2819" width="11.42578125" style="1"/>
    <col min="2820" max="2820" width="10" style="1" customWidth="1"/>
    <col min="2821" max="2821" width="13.7109375" style="1" customWidth="1"/>
    <col min="2822" max="2823" width="11.42578125" style="1"/>
    <col min="2824" max="2824" width="14" style="1" customWidth="1"/>
    <col min="2825" max="3072" width="11.42578125" style="1"/>
    <col min="3073" max="3073" width="22.7109375" style="1" customWidth="1"/>
    <col min="3074" max="3074" width="10" style="1" customWidth="1"/>
    <col min="3075" max="3075" width="11.42578125" style="1"/>
    <col min="3076" max="3076" width="10" style="1" customWidth="1"/>
    <col min="3077" max="3077" width="13.7109375" style="1" customWidth="1"/>
    <col min="3078" max="3079" width="11.42578125" style="1"/>
    <col min="3080" max="3080" width="14" style="1" customWidth="1"/>
    <col min="3081" max="3328" width="11.42578125" style="1"/>
    <col min="3329" max="3329" width="22.7109375" style="1" customWidth="1"/>
    <col min="3330" max="3330" width="10" style="1" customWidth="1"/>
    <col min="3331" max="3331" width="11.42578125" style="1"/>
    <col min="3332" max="3332" width="10" style="1" customWidth="1"/>
    <col min="3333" max="3333" width="13.7109375" style="1" customWidth="1"/>
    <col min="3334" max="3335" width="11.42578125" style="1"/>
    <col min="3336" max="3336" width="14" style="1" customWidth="1"/>
    <col min="3337" max="3584" width="11.42578125" style="1"/>
    <col min="3585" max="3585" width="22.7109375" style="1" customWidth="1"/>
    <col min="3586" max="3586" width="10" style="1" customWidth="1"/>
    <col min="3587" max="3587" width="11.42578125" style="1"/>
    <col min="3588" max="3588" width="10" style="1" customWidth="1"/>
    <col min="3589" max="3589" width="13.7109375" style="1" customWidth="1"/>
    <col min="3590" max="3591" width="11.42578125" style="1"/>
    <col min="3592" max="3592" width="14" style="1" customWidth="1"/>
    <col min="3593" max="3840" width="11.42578125" style="1"/>
    <col min="3841" max="3841" width="22.7109375" style="1" customWidth="1"/>
    <col min="3842" max="3842" width="10" style="1" customWidth="1"/>
    <col min="3843" max="3843" width="11.42578125" style="1"/>
    <col min="3844" max="3844" width="10" style="1" customWidth="1"/>
    <col min="3845" max="3845" width="13.7109375" style="1" customWidth="1"/>
    <col min="3846" max="3847" width="11.42578125" style="1"/>
    <col min="3848" max="3848" width="14" style="1" customWidth="1"/>
    <col min="3849" max="4096" width="11.42578125" style="1"/>
    <col min="4097" max="4097" width="22.7109375" style="1" customWidth="1"/>
    <col min="4098" max="4098" width="10" style="1" customWidth="1"/>
    <col min="4099" max="4099" width="11.42578125" style="1"/>
    <col min="4100" max="4100" width="10" style="1" customWidth="1"/>
    <col min="4101" max="4101" width="13.7109375" style="1" customWidth="1"/>
    <col min="4102" max="4103" width="11.42578125" style="1"/>
    <col min="4104" max="4104" width="14" style="1" customWidth="1"/>
    <col min="4105" max="4352" width="11.42578125" style="1"/>
    <col min="4353" max="4353" width="22.7109375" style="1" customWidth="1"/>
    <col min="4354" max="4354" width="10" style="1" customWidth="1"/>
    <col min="4355" max="4355" width="11.42578125" style="1"/>
    <col min="4356" max="4356" width="10" style="1" customWidth="1"/>
    <col min="4357" max="4357" width="13.7109375" style="1" customWidth="1"/>
    <col min="4358" max="4359" width="11.42578125" style="1"/>
    <col min="4360" max="4360" width="14" style="1" customWidth="1"/>
    <col min="4361" max="4608" width="11.42578125" style="1"/>
    <col min="4609" max="4609" width="22.7109375" style="1" customWidth="1"/>
    <col min="4610" max="4610" width="10" style="1" customWidth="1"/>
    <col min="4611" max="4611" width="11.42578125" style="1"/>
    <col min="4612" max="4612" width="10" style="1" customWidth="1"/>
    <col min="4613" max="4613" width="13.7109375" style="1" customWidth="1"/>
    <col min="4614" max="4615" width="11.42578125" style="1"/>
    <col min="4616" max="4616" width="14" style="1" customWidth="1"/>
    <col min="4617" max="4864" width="11.42578125" style="1"/>
    <col min="4865" max="4865" width="22.7109375" style="1" customWidth="1"/>
    <col min="4866" max="4866" width="10" style="1" customWidth="1"/>
    <col min="4867" max="4867" width="11.42578125" style="1"/>
    <col min="4868" max="4868" width="10" style="1" customWidth="1"/>
    <col min="4869" max="4869" width="13.7109375" style="1" customWidth="1"/>
    <col min="4870" max="4871" width="11.42578125" style="1"/>
    <col min="4872" max="4872" width="14" style="1" customWidth="1"/>
    <col min="4873" max="5120" width="11.42578125" style="1"/>
    <col min="5121" max="5121" width="22.7109375" style="1" customWidth="1"/>
    <col min="5122" max="5122" width="10" style="1" customWidth="1"/>
    <col min="5123" max="5123" width="11.42578125" style="1"/>
    <col min="5124" max="5124" width="10" style="1" customWidth="1"/>
    <col min="5125" max="5125" width="13.7109375" style="1" customWidth="1"/>
    <col min="5126" max="5127" width="11.42578125" style="1"/>
    <col min="5128" max="5128" width="14" style="1" customWidth="1"/>
    <col min="5129" max="5376" width="11.42578125" style="1"/>
    <col min="5377" max="5377" width="22.7109375" style="1" customWidth="1"/>
    <col min="5378" max="5378" width="10" style="1" customWidth="1"/>
    <col min="5379" max="5379" width="11.42578125" style="1"/>
    <col min="5380" max="5380" width="10" style="1" customWidth="1"/>
    <col min="5381" max="5381" width="13.7109375" style="1" customWidth="1"/>
    <col min="5382" max="5383" width="11.42578125" style="1"/>
    <col min="5384" max="5384" width="14" style="1" customWidth="1"/>
    <col min="5385" max="5632" width="11.42578125" style="1"/>
    <col min="5633" max="5633" width="22.7109375" style="1" customWidth="1"/>
    <col min="5634" max="5634" width="10" style="1" customWidth="1"/>
    <col min="5635" max="5635" width="11.42578125" style="1"/>
    <col min="5636" max="5636" width="10" style="1" customWidth="1"/>
    <col min="5637" max="5637" width="13.7109375" style="1" customWidth="1"/>
    <col min="5638" max="5639" width="11.42578125" style="1"/>
    <col min="5640" max="5640" width="14" style="1" customWidth="1"/>
    <col min="5641" max="5888" width="11.42578125" style="1"/>
    <col min="5889" max="5889" width="22.7109375" style="1" customWidth="1"/>
    <col min="5890" max="5890" width="10" style="1" customWidth="1"/>
    <col min="5891" max="5891" width="11.42578125" style="1"/>
    <col min="5892" max="5892" width="10" style="1" customWidth="1"/>
    <col min="5893" max="5893" width="13.7109375" style="1" customWidth="1"/>
    <col min="5894" max="5895" width="11.42578125" style="1"/>
    <col min="5896" max="5896" width="14" style="1" customWidth="1"/>
    <col min="5897" max="6144" width="11.42578125" style="1"/>
    <col min="6145" max="6145" width="22.7109375" style="1" customWidth="1"/>
    <col min="6146" max="6146" width="10" style="1" customWidth="1"/>
    <col min="6147" max="6147" width="11.42578125" style="1"/>
    <col min="6148" max="6148" width="10" style="1" customWidth="1"/>
    <col min="6149" max="6149" width="13.7109375" style="1" customWidth="1"/>
    <col min="6150" max="6151" width="11.42578125" style="1"/>
    <col min="6152" max="6152" width="14" style="1" customWidth="1"/>
    <col min="6153" max="6400" width="11.42578125" style="1"/>
    <col min="6401" max="6401" width="22.7109375" style="1" customWidth="1"/>
    <col min="6402" max="6402" width="10" style="1" customWidth="1"/>
    <col min="6403" max="6403" width="11.42578125" style="1"/>
    <col min="6404" max="6404" width="10" style="1" customWidth="1"/>
    <col min="6405" max="6405" width="13.7109375" style="1" customWidth="1"/>
    <col min="6406" max="6407" width="11.42578125" style="1"/>
    <col min="6408" max="6408" width="14" style="1" customWidth="1"/>
    <col min="6409" max="6656" width="11.42578125" style="1"/>
    <col min="6657" max="6657" width="22.7109375" style="1" customWidth="1"/>
    <col min="6658" max="6658" width="10" style="1" customWidth="1"/>
    <col min="6659" max="6659" width="11.42578125" style="1"/>
    <col min="6660" max="6660" width="10" style="1" customWidth="1"/>
    <col min="6661" max="6661" width="13.7109375" style="1" customWidth="1"/>
    <col min="6662" max="6663" width="11.42578125" style="1"/>
    <col min="6664" max="6664" width="14" style="1" customWidth="1"/>
    <col min="6665" max="6912" width="11.42578125" style="1"/>
    <col min="6913" max="6913" width="22.7109375" style="1" customWidth="1"/>
    <col min="6914" max="6914" width="10" style="1" customWidth="1"/>
    <col min="6915" max="6915" width="11.42578125" style="1"/>
    <col min="6916" max="6916" width="10" style="1" customWidth="1"/>
    <col min="6917" max="6917" width="13.7109375" style="1" customWidth="1"/>
    <col min="6918" max="6919" width="11.42578125" style="1"/>
    <col min="6920" max="6920" width="14" style="1" customWidth="1"/>
    <col min="6921" max="7168" width="11.42578125" style="1"/>
    <col min="7169" max="7169" width="22.7109375" style="1" customWidth="1"/>
    <col min="7170" max="7170" width="10" style="1" customWidth="1"/>
    <col min="7171" max="7171" width="11.42578125" style="1"/>
    <col min="7172" max="7172" width="10" style="1" customWidth="1"/>
    <col min="7173" max="7173" width="13.7109375" style="1" customWidth="1"/>
    <col min="7174" max="7175" width="11.42578125" style="1"/>
    <col min="7176" max="7176" width="14" style="1" customWidth="1"/>
    <col min="7177" max="7424" width="11.42578125" style="1"/>
    <col min="7425" max="7425" width="22.7109375" style="1" customWidth="1"/>
    <col min="7426" max="7426" width="10" style="1" customWidth="1"/>
    <col min="7427" max="7427" width="11.42578125" style="1"/>
    <col min="7428" max="7428" width="10" style="1" customWidth="1"/>
    <col min="7429" max="7429" width="13.7109375" style="1" customWidth="1"/>
    <col min="7430" max="7431" width="11.42578125" style="1"/>
    <col min="7432" max="7432" width="14" style="1" customWidth="1"/>
    <col min="7433" max="7680" width="11.42578125" style="1"/>
    <col min="7681" max="7681" width="22.7109375" style="1" customWidth="1"/>
    <col min="7682" max="7682" width="10" style="1" customWidth="1"/>
    <col min="7683" max="7683" width="11.42578125" style="1"/>
    <col min="7684" max="7684" width="10" style="1" customWidth="1"/>
    <col min="7685" max="7685" width="13.7109375" style="1" customWidth="1"/>
    <col min="7686" max="7687" width="11.42578125" style="1"/>
    <col min="7688" max="7688" width="14" style="1" customWidth="1"/>
    <col min="7689" max="7936" width="11.42578125" style="1"/>
    <col min="7937" max="7937" width="22.7109375" style="1" customWidth="1"/>
    <col min="7938" max="7938" width="10" style="1" customWidth="1"/>
    <col min="7939" max="7939" width="11.42578125" style="1"/>
    <col min="7940" max="7940" width="10" style="1" customWidth="1"/>
    <col min="7941" max="7941" width="13.7109375" style="1" customWidth="1"/>
    <col min="7942" max="7943" width="11.42578125" style="1"/>
    <col min="7944" max="7944" width="14" style="1" customWidth="1"/>
    <col min="7945" max="8192" width="11.42578125" style="1"/>
    <col min="8193" max="8193" width="22.7109375" style="1" customWidth="1"/>
    <col min="8194" max="8194" width="10" style="1" customWidth="1"/>
    <col min="8195" max="8195" width="11.42578125" style="1"/>
    <col min="8196" max="8196" width="10" style="1" customWidth="1"/>
    <col min="8197" max="8197" width="13.7109375" style="1" customWidth="1"/>
    <col min="8198" max="8199" width="11.42578125" style="1"/>
    <col min="8200" max="8200" width="14" style="1" customWidth="1"/>
    <col min="8201" max="8448" width="11.42578125" style="1"/>
    <col min="8449" max="8449" width="22.7109375" style="1" customWidth="1"/>
    <col min="8450" max="8450" width="10" style="1" customWidth="1"/>
    <col min="8451" max="8451" width="11.42578125" style="1"/>
    <col min="8452" max="8452" width="10" style="1" customWidth="1"/>
    <col min="8453" max="8453" width="13.7109375" style="1" customWidth="1"/>
    <col min="8454" max="8455" width="11.42578125" style="1"/>
    <col min="8456" max="8456" width="14" style="1" customWidth="1"/>
    <col min="8457" max="8704" width="11.42578125" style="1"/>
    <col min="8705" max="8705" width="22.7109375" style="1" customWidth="1"/>
    <col min="8706" max="8706" width="10" style="1" customWidth="1"/>
    <col min="8707" max="8707" width="11.42578125" style="1"/>
    <col min="8708" max="8708" width="10" style="1" customWidth="1"/>
    <col min="8709" max="8709" width="13.7109375" style="1" customWidth="1"/>
    <col min="8710" max="8711" width="11.42578125" style="1"/>
    <col min="8712" max="8712" width="14" style="1" customWidth="1"/>
    <col min="8713" max="8960" width="11.42578125" style="1"/>
    <col min="8961" max="8961" width="22.7109375" style="1" customWidth="1"/>
    <col min="8962" max="8962" width="10" style="1" customWidth="1"/>
    <col min="8963" max="8963" width="11.42578125" style="1"/>
    <col min="8964" max="8964" width="10" style="1" customWidth="1"/>
    <col min="8965" max="8965" width="13.7109375" style="1" customWidth="1"/>
    <col min="8966" max="8967" width="11.42578125" style="1"/>
    <col min="8968" max="8968" width="14" style="1" customWidth="1"/>
    <col min="8969" max="9216" width="11.42578125" style="1"/>
    <col min="9217" max="9217" width="22.7109375" style="1" customWidth="1"/>
    <col min="9218" max="9218" width="10" style="1" customWidth="1"/>
    <col min="9219" max="9219" width="11.42578125" style="1"/>
    <col min="9220" max="9220" width="10" style="1" customWidth="1"/>
    <col min="9221" max="9221" width="13.7109375" style="1" customWidth="1"/>
    <col min="9222" max="9223" width="11.42578125" style="1"/>
    <col min="9224" max="9224" width="14" style="1" customWidth="1"/>
    <col min="9225" max="9472" width="11.42578125" style="1"/>
    <col min="9473" max="9473" width="22.7109375" style="1" customWidth="1"/>
    <col min="9474" max="9474" width="10" style="1" customWidth="1"/>
    <col min="9475" max="9475" width="11.42578125" style="1"/>
    <col min="9476" max="9476" width="10" style="1" customWidth="1"/>
    <col min="9477" max="9477" width="13.7109375" style="1" customWidth="1"/>
    <col min="9478" max="9479" width="11.42578125" style="1"/>
    <col min="9480" max="9480" width="14" style="1" customWidth="1"/>
    <col min="9481" max="9728" width="11.42578125" style="1"/>
    <col min="9729" max="9729" width="22.7109375" style="1" customWidth="1"/>
    <col min="9730" max="9730" width="10" style="1" customWidth="1"/>
    <col min="9731" max="9731" width="11.42578125" style="1"/>
    <col min="9732" max="9732" width="10" style="1" customWidth="1"/>
    <col min="9733" max="9733" width="13.7109375" style="1" customWidth="1"/>
    <col min="9734" max="9735" width="11.42578125" style="1"/>
    <col min="9736" max="9736" width="14" style="1" customWidth="1"/>
    <col min="9737" max="9984" width="11.42578125" style="1"/>
    <col min="9985" max="9985" width="22.7109375" style="1" customWidth="1"/>
    <col min="9986" max="9986" width="10" style="1" customWidth="1"/>
    <col min="9987" max="9987" width="11.42578125" style="1"/>
    <col min="9988" max="9988" width="10" style="1" customWidth="1"/>
    <col min="9989" max="9989" width="13.7109375" style="1" customWidth="1"/>
    <col min="9990" max="9991" width="11.42578125" style="1"/>
    <col min="9992" max="9992" width="14" style="1" customWidth="1"/>
    <col min="9993" max="10240" width="11.42578125" style="1"/>
    <col min="10241" max="10241" width="22.7109375" style="1" customWidth="1"/>
    <col min="10242" max="10242" width="10" style="1" customWidth="1"/>
    <col min="10243" max="10243" width="11.42578125" style="1"/>
    <col min="10244" max="10244" width="10" style="1" customWidth="1"/>
    <col min="10245" max="10245" width="13.7109375" style="1" customWidth="1"/>
    <col min="10246" max="10247" width="11.42578125" style="1"/>
    <col min="10248" max="10248" width="14" style="1" customWidth="1"/>
    <col min="10249" max="10496" width="11.42578125" style="1"/>
    <col min="10497" max="10497" width="22.7109375" style="1" customWidth="1"/>
    <col min="10498" max="10498" width="10" style="1" customWidth="1"/>
    <col min="10499" max="10499" width="11.42578125" style="1"/>
    <col min="10500" max="10500" width="10" style="1" customWidth="1"/>
    <col min="10501" max="10501" width="13.7109375" style="1" customWidth="1"/>
    <col min="10502" max="10503" width="11.42578125" style="1"/>
    <col min="10504" max="10504" width="14" style="1" customWidth="1"/>
    <col min="10505" max="10752" width="11.42578125" style="1"/>
    <col min="10753" max="10753" width="22.7109375" style="1" customWidth="1"/>
    <col min="10754" max="10754" width="10" style="1" customWidth="1"/>
    <col min="10755" max="10755" width="11.42578125" style="1"/>
    <col min="10756" max="10756" width="10" style="1" customWidth="1"/>
    <col min="10757" max="10757" width="13.7109375" style="1" customWidth="1"/>
    <col min="10758" max="10759" width="11.42578125" style="1"/>
    <col min="10760" max="10760" width="14" style="1" customWidth="1"/>
    <col min="10761" max="11008" width="11.42578125" style="1"/>
    <col min="11009" max="11009" width="22.7109375" style="1" customWidth="1"/>
    <col min="11010" max="11010" width="10" style="1" customWidth="1"/>
    <col min="11011" max="11011" width="11.42578125" style="1"/>
    <col min="11012" max="11012" width="10" style="1" customWidth="1"/>
    <col min="11013" max="11013" width="13.7109375" style="1" customWidth="1"/>
    <col min="11014" max="11015" width="11.42578125" style="1"/>
    <col min="11016" max="11016" width="14" style="1" customWidth="1"/>
    <col min="11017" max="11264" width="11.42578125" style="1"/>
    <col min="11265" max="11265" width="22.7109375" style="1" customWidth="1"/>
    <col min="11266" max="11266" width="10" style="1" customWidth="1"/>
    <col min="11267" max="11267" width="11.42578125" style="1"/>
    <col min="11268" max="11268" width="10" style="1" customWidth="1"/>
    <col min="11269" max="11269" width="13.7109375" style="1" customWidth="1"/>
    <col min="11270" max="11271" width="11.42578125" style="1"/>
    <col min="11272" max="11272" width="14" style="1" customWidth="1"/>
    <col min="11273" max="11520" width="11.42578125" style="1"/>
    <col min="11521" max="11521" width="22.7109375" style="1" customWidth="1"/>
    <col min="11522" max="11522" width="10" style="1" customWidth="1"/>
    <col min="11523" max="11523" width="11.42578125" style="1"/>
    <col min="11524" max="11524" width="10" style="1" customWidth="1"/>
    <col min="11525" max="11525" width="13.7109375" style="1" customWidth="1"/>
    <col min="11526" max="11527" width="11.42578125" style="1"/>
    <col min="11528" max="11528" width="14" style="1" customWidth="1"/>
    <col min="11529" max="11776" width="11.42578125" style="1"/>
    <col min="11777" max="11777" width="22.7109375" style="1" customWidth="1"/>
    <col min="11778" max="11778" width="10" style="1" customWidth="1"/>
    <col min="11779" max="11779" width="11.42578125" style="1"/>
    <col min="11780" max="11780" width="10" style="1" customWidth="1"/>
    <col min="11781" max="11781" width="13.7109375" style="1" customWidth="1"/>
    <col min="11782" max="11783" width="11.42578125" style="1"/>
    <col min="11784" max="11784" width="14" style="1" customWidth="1"/>
    <col min="11785" max="12032" width="11.42578125" style="1"/>
    <col min="12033" max="12033" width="22.7109375" style="1" customWidth="1"/>
    <col min="12034" max="12034" width="10" style="1" customWidth="1"/>
    <col min="12035" max="12035" width="11.42578125" style="1"/>
    <col min="12036" max="12036" width="10" style="1" customWidth="1"/>
    <col min="12037" max="12037" width="13.7109375" style="1" customWidth="1"/>
    <col min="12038" max="12039" width="11.42578125" style="1"/>
    <col min="12040" max="12040" width="14" style="1" customWidth="1"/>
    <col min="12041" max="12288" width="11.42578125" style="1"/>
    <col min="12289" max="12289" width="22.7109375" style="1" customWidth="1"/>
    <col min="12290" max="12290" width="10" style="1" customWidth="1"/>
    <col min="12291" max="12291" width="11.42578125" style="1"/>
    <col min="12292" max="12292" width="10" style="1" customWidth="1"/>
    <col min="12293" max="12293" width="13.7109375" style="1" customWidth="1"/>
    <col min="12294" max="12295" width="11.42578125" style="1"/>
    <col min="12296" max="12296" width="14" style="1" customWidth="1"/>
    <col min="12297" max="12544" width="11.42578125" style="1"/>
    <col min="12545" max="12545" width="22.7109375" style="1" customWidth="1"/>
    <col min="12546" max="12546" width="10" style="1" customWidth="1"/>
    <col min="12547" max="12547" width="11.42578125" style="1"/>
    <col min="12548" max="12548" width="10" style="1" customWidth="1"/>
    <col min="12549" max="12549" width="13.7109375" style="1" customWidth="1"/>
    <col min="12550" max="12551" width="11.42578125" style="1"/>
    <col min="12552" max="12552" width="14" style="1" customWidth="1"/>
    <col min="12553" max="12800" width="11.42578125" style="1"/>
    <col min="12801" max="12801" width="22.7109375" style="1" customWidth="1"/>
    <col min="12802" max="12802" width="10" style="1" customWidth="1"/>
    <col min="12803" max="12803" width="11.42578125" style="1"/>
    <col min="12804" max="12804" width="10" style="1" customWidth="1"/>
    <col min="12805" max="12805" width="13.7109375" style="1" customWidth="1"/>
    <col min="12806" max="12807" width="11.42578125" style="1"/>
    <col min="12808" max="12808" width="14" style="1" customWidth="1"/>
    <col min="12809" max="13056" width="11.42578125" style="1"/>
    <col min="13057" max="13057" width="22.7109375" style="1" customWidth="1"/>
    <col min="13058" max="13058" width="10" style="1" customWidth="1"/>
    <col min="13059" max="13059" width="11.42578125" style="1"/>
    <col min="13060" max="13060" width="10" style="1" customWidth="1"/>
    <col min="13061" max="13061" width="13.7109375" style="1" customWidth="1"/>
    <col min="13062" max="13063" width="11.42578125" style="1"/>
    <col min="13064" max="13064" width="14" style="1" customWidth="1"/>
    <col min="13065" max="13312" width="11.42578125" style="1"/>
    <col min="13313" max="13313" width="22.7109375" style="1" customWidth="1"/>
    <col min="13314" max="13314" width="10" style="1" customWidth="1"/>
    <col min="13315" max="13315" width="11.42578125" style="1"/>
    <col min="13316" max="13316" width="10" style="1" customWidth="1"/>
    <col min="13317" max="13317" width="13.7109375" style="1" customWidth="1"/>
    <col min="13318" max="13319" width="11.42578125" style="1"/>
    <col min="13320" max="13320" width="14" style="1" customWidth="1"/>
    <col min="13321" max="13568" width="11.42578125" style="1"/>
    <col min="13569" max="13569" width="22.7109375" style="1" customWidth="1"/>
    <col min="13570" max="13570" width="10" style="1" customWidth="1"/>
    <col min="13571" max="13571" width="11.42578125" style="1"/>
    <col min="13572" max="13572" width="10" style="1" customWidth="1"/>
    <col min="13573" max="13573" width="13.7109375" style="1" customWidth="1"/>
    <col min="13574" max="13575" width="11.42578125" style="1"/>
    <col min="13576" max="13576" width="14" style="1" customWidth="1"/>
    <col min="13577" max="13824" width="11.42578125" style="1"/>
    <col min="13825" max="13825" width="22.7109375" style="1" customWidth="1"/>
    <col min="13826" max="13826" width="10" style="1" customWidth="1"/>
    <col min="13827" max="13827" width="11.42578125" style="1"/>
    <col min="13828" max="13828" width="10" style="1" customWidth="1"/>
    <col min="13829" max="13829" width="13.7109375" style="1" customWidth="1"/>
    <col min="13830" max="13831" width="11.42578125" style="1"/>
    <col min="13832" max="13832" width="14" style="1" customWidth="1"/>
    <col min="13833" max="14080" width="11.42578125" style="1"/>
    <col min="14081" max="14081" width="22.7109375" style="1" customWidth="1"/>
    <col min="14082" max="14082" width="10" style="1" customWidth="1"/>
    <col min="14083" max="14083" width="11.42578125" style="1"/>
    <col min="14084" max="14084" width="10" style="1" customWidth="1"/>
    <col min="14085" max="14085" width="13.7109375" style="1" customWidth="1"/>
    <col min="14086" max="14087" width="11.42578125" style="1"/>
    <col min="14088" max="14088" width="14" style="1" customWidth="1"/>
    <col min="14089" max="14336" width="11.42578125" style="1"/>
    <col min="14337" max="14337" width="22.7109375" style="1" customWidth="1"/>
    <col min="14338" max="14338" width="10" style="1" customWidth="1"/>
    <col min="14339" max="14339" width="11.42578125" style="1"/>
    <col min="14340" max="14340" width="10" style="1" customWidth="1"/>
    <col min="14341" max="14341" width="13.7109375" style="1" customWidth="1"/>
    <col min="14342" max="14343" width="11.42578125" style="1"/>
    <col min="14344" max="14344" width="14" style="1" customWidth="1"/>
    <col min="14345" max="14592" width="11.42578125" style="1"/>
    <col min="14593" max="14593" width="22.7109375" style="1" customWidth="1"/>
    <col min="14594" max="14594" width="10" style="1" customWidth="1"/>
    <col min="14595" max="14595" width="11.42578125" style="1"/>
    <col min="14596" max="14596" width="10" style="1" customWidth="1"/>
    <col min="14597" max="14597" width="13.7109375" style="1" customWidth="1"/>
    <col min="14598" max="14599" width="11.42578125" style="1"/>
    <col min="14600" max="14600" width="14" style="1" customWidth="1"/>
    <col min="14601" max="14848" width="11.42578125" style="1"/>
    <col min="14849" max="14849" width="22.7109375" style="1" customWidth="1"/>
    <col min="14850" max="14850" width="10" style="1" customWidth="1"/>
    <col min="14851" max="14851" width="11.42578125" style="1"/>
    <col min="14852" max="14852" width="10" style="1" customWidth="1"/>
    <col min="14853" max="14853" width="13.7109375" style="1" customWidth="1"/>
    <col min="14854" max="14855" width="11.42578125" style="1"/>
    <col min="14856" max="14856" width="14" style="1" customWidth="1"/>
    <col min="14857" max="15104" width="11.42578125" style="1"/>
    <col min="15105" max="15105" width="22.7109375" style="1" customWidth="1"/>
    <col min="15106" max="15106" width="10" style="1" customWidth="1"/>
    <col min="15107" max="15107" width="11.42578125" style="1"/>
    <col min="15108" max="15108" width="10" style="1" customWidth="1"/>
    <col min="15109" max="15109" width="13.7109375" style="1" customWidth="1"/>
    <col min="15110" max="15111" width="11.42578125" style="1"/>
    <col min="15112" max="15112" width="14" style="1" customWidth="1"/>
    <col min="15113" max="15360" width="11.42578125" style="1"/>
    <col min="15361" max="15361" width="22.7109375" style="1" customWidth="1"/>
    <col min="15362" max="15362" width="10" style="1" customWidth="1"/>
    <col min="15363" max="15363" width="11.42578125" style="1"/>
    <col min="15364" max="15364" width="10" style="1" customWidth="1"/>
    <col min="15365" max="15365" width="13.7109375" style="1" customWidth="1"/>
    <col min="15366" max="15367" width="11.42578125" style="1"/>
    <col min="15368" max="15368" width="14" style="1" customWidth="1"/>
    <col min="15369" max="15616" width="11.42578125" style="1"/>
    <col min="15617" max="15617" width="22.7109375" style="1" customWidth="1"/>
    <col min="15618" max="15618" width="10" style="1" customWidth="1"/>
    <col min="15619" max="15619" width="11.42578125" style="1"/>
    <col min="15620" max="15620" width="10" style="1" customWidth="1"/>
    <col min="15621" max="15621" width="13.7109375" style="1" customWidth="1"/>
    <col min="15622" max="15623" width="11.42578125" style="1"/>
    <col min="15624" max="15624" width="14" style="1" customWidth="1"/>
    <col min="15625" max="15872" width="11.42578125" style="1"/>
    <col min="15873" max="15873" width="22.7109375" style="1" customWidth="1"/>
    <col min="15874" max="15874" width="10" style="1" customWidth="1"/>
    <col min="15875" max="15875" width="11.42578125" style="1"/>
    <col min="15876" max="15876" width="10" style="1" customWidth="1"/>
    <col min="15877" max="15877" width="13.7109375" style="1" customWidth="1"/>
    <col min="15878" max="15879" width="11.42578125" style="1"/>
    <col min="15880" max="15880" width="14" style="1" customWidth="1"/>
    <col min="15881" max="16128" width="11.42578125" style="1"/>
    <col min="16129" max="16129" width="22.7109375" style="1" customWidth="1"/>
    <col min="16130" max="16130" width="10" style="1" customWidth="1"/>
    <col min="16131" max="16131" width="11.42578125" style="1"/>
    <col min="16132" max="16132" width="10" style="1" customWidth="1"/>
    <col min="16133" max="16133" width="13.7109375" style="1" customWidth="1"/>
    <col min="16134" max="16135" width="11.42578125" style="1"/>
    <col min="16136" max="16136" width="14" style="1" customWidth="1"/>
    <col min="16137" max="16384" width="11.42578125" style="1"/>
  </cols>
  <sheetData>
    <row r="1" spans="1:10" ht="9" customHeight="1" x14ac:dyDescent="0.25">
      <c r="A1" s="134" t="s">
        <v>162</v>
      </c>
      <c r="B1" s="134"/>
      <c r="C1" s="134"/>
      <c r="D1" s="134"/>
      <c r="E1" s="134"/>
      <c r="F1" s="134"/>
      <c r="G1" s="134"/>
      <c r="H1" s="134"/>
    </row>
    <row r="2" spans="1:10" ht="9.75" customHeight="1" x14ac:dyDescent="0.25">
      <c r="A2" s="135" t="s">
        <v>163</v>
      </c>
      <c r="B2" s="135"/>
      <c r="C2" s="135"/>
      <c r="D2" s="135"/>
      <c r="E2" s="135"/>
      <c r="F2" s="135"/>
      <c r="G2" s="135"/>
      <c r="H2" s="135"/>
    </row>
    <row r="3" spans="1:10" ht="9" customHeight="1" x14ac:dyDescent="0.25">
      <c r="A3" s="135" t="s">
        <v>164</v>
      </c>
      <c r="B3" s="135"/>
      <c r="C3" s="135"/>
      <c r="D3" s="135"/>
      <c r="E3" s="135"/>
      <c r="F3" s="135"/>
      <c r="G3" s="135"/>
      <c r="H3" s="135"/>
    </row>
    <row r="4" spans="1:10" ht="15.75" thickBot="1" x14ac:dyDescent="0.3">
      <c r="A4" s="136" t="s">
        <v>165</v>
      </c>
      <c r="B4" s="136"/>
      <c r="C4" s="136"/>
      <c r="D4" s="136"/>
      <c r="E4" s="136"/>
      <c r="F4" s="136"/>
      <c r="G4" s="136"/>
      <c r="H4" s="136"/>
    </row>
    <row r="5" spans="1:10" ht="15.75" thickBot="1" x14ac:dyDescent="0.3">
      <c r="A5" s="137" t="s">
        <v>166</v>
      </c>
      <c r="B5" s="139" t="s">
        <v>167</v>
      </c>
      <c r="C5" s="140"/>
      <c r="D5" s="141"/>
      <c r="E5" s="142" t="s">
        <v>168</v>
      </c>
      <c r="F5" s="137" t="s">
        <v>169</v>
      </c>
      <c r="G5" s="137" t="s">
        <v>21</v>
      </c>
      <c r="H5" s="137" t="s">
        <v>170</v>
      </c>
    </row>
    <row r="6" spans="1:10" ht="19.5" customHeight="1" thickBot="1" x14ac:dyDescent="0.3">
      <c r="A6" s="138"/>
      <c r="B6" s="2" t="s">
        <v>171</v>
      </c>
      <c r="C6" s="3" t="s">
        <v>172</v>
      </c>
      <c r="D6" s="3" t="s">
        <v>173</v>
      </c>
      <c r="E6" s="143"/>
      <c r="F6" s="144"/>
      <c r="G6" s="138"/>
      <c r="H6" s="138"/>
    </row>
    <row r="7" spans="1:10" ht="36" customHeight="1" thickBot="1" x14ac:dyDescent="0.3">
      <c r="A7" s="138"/>
      <c r="B7" s="4">
        <v>1</v>
      </c>
      <c r="C7" s="5">
        <v>2</v>
      </c>
      <c r="D7" s="4">
        <v>3</v>
      </c>
      <c r="E7" s="5">
        <v>4</v>
      </c>
      <c r="F7" s="6" t="s">
        <v>174</v>
      </c>
      <c r="G7" s="138"/>
      <c r="H7" s="138"/>
    </row>
    <row r="8" spans="1:10" s="15" customFormat="1" ht="13.9" customHeight="1" thickBot="1" x14ac:dyDescent="0.3">
      <c r="A8" s="7" t="s">
        <v>24</v>
      </c>
      <c r="B8" s="8">
        <f>SUM(B9+B20+B21+B22+B23+B24)</f>
        <v>1939718</v>
      </c>
      <c r="C8" s="9">
        <f>SUM(C9+C20+C21+C22+C23+C24)</f>
        <v>2328531</v>
      </c>
      <c r="D8" s="10">
        <f>SUM(D9+D20+D21+D22+D23+D24)</f>
        <v>1819798</v>
      </c>
      <c r="E8" s="10">
        <f>SUM(E9+E20+E21+E22+E23+E24)</f>
        <v>1337924.8699999999</v>
      </c>
      <c r="F8" s="11">
        <f>SUM(C8-D8)</f>
        <v>508733</v>
      </c>
      <c r="G8" s="12">
        <f>SUM(E8/D8)*100%</f>
        <v>0.73520515463804215</v>
      </c>
      <c r="H8" s="13">
        <f>SUM(E8/C8)*100%</f>
        <v>0.57457893839506535</v>
      </c>
      <c r="I8" s="14"/>
    </row>
    <row r="9" spans="1:10" s="15" customFormat="1" ht="14.45" customHeight="1" x14ac:dyDescent="0.25">
      <c r="A9" s="16" t="s">
        <v>25</v>
      </c>
      <c r="B9" s="17">
        <f>SUM(B10:B19)</f>
        <v>1412126</v>
      </c>
      <c r="C9" s="18">
        <f>SUM(C10:C19)</f>
        <v>1617418</v>
      </c>
      <c r="D9" s="17">
        <f>SUM(D10:D19)</f>
        <v>1146712</v>
      </c>
      <c r="E9" s="18">
        <f>SUM(E10:E19)</f>
        <v>905059.0199999999</v>
      </c>
      <c r="F9" s="19">
        <f>SUM(F10:F16)</f>
        <v>470706</v>
      </c>
      <c r="G9" s="20">
        <f>SUM(E9/D9)*100%</f>
        <v>0.78926445349834995</v>
      </c>
      <c r="H9" s="21">
        <f t="shared" ref="H9:H24" si="0">SUM(E9/C9)*100%</f>
        <v>0.55957026569507695</v>
      </c>
      <c r="I9" s="14"/>
    </row>
    <row r="10" spans="1:10" s="15" customFormat="1" ht="12.6" customHeight="1" x14ac:dyDescent="0.25">
      <c r="A10" s="22" t="s">
        <v>26</v>
      </c>
      <c r="B10" s="23">
        <f>'[1]EJECUCION 08'!C9</f>
        <v>1133760</v>
      </c>
      <c r="C10" s="23">
        <f>'[1]EJECUCION 08'!G9</f>
        <v>1293773</v>
      </c>
      <c r="D10" s="23">
        <f>'[1]EJECUCION 08'!H9</f>
        <v>915853</v>
      </c>
      <c r="E10" s="23">
        <f>'[1]EJECUCION 08'!K9</f>
        <v>741103.34</v>
      </c>
      <c r="F10" s="24">
        <f t="shared" ref="F10:F15" si="1">SUM(C10-D10)</f>
        <v>377920</v>
      </c>
      <c r="G10" s="25">
        <f>SUM(E10/D10)*100%</f>
        <v>0.80919464149814435</v>
      </c>
      <c r="H10" s="26">
        <f t="shared" si="0"/>
        <v>0.57282331599129055</v>
      </c>
      <c r="J10" s="15" t="s">
        <v>175</v>
      </c>
    </row>
    <row r="11" spans="1:10" s="15" customFormat="1" ht="22.5" x14ac:dyDescent="0.25">
      <c r="A11" s="22" t="s">
        <v>28</v>
      </c>
      <c r="B11" s="23">
        <f>'[1]EJECUCION 08'!C10</f>
        <v>54000</v>
      </c>
      <c r="C11" s="23">
        <f>'[1]EJECUCION 08'!G10</f>
        <v>51000</v>
      </c>
      <c r="D11" s="23">
        <f>'[1]EJECUCION 08'!H10</f>
        <v>33000</v>
      </c>
      <c r="E11" s="23">
        <f>'[1]EJECUCION 08'!K10</f>
        <v>30000</v>
      </c>
      <c r="F11" s="24">
        <f t="shared" si="1"/>
        <v>18000</v>
      </c>
      <c r="G11" s="25">
        <f t="shared" ref="G11:G24" si="2">SUM(E11/D11)*100%</f>
        <v>0.90909090909090906</v>
      </c>
      <c r="H11" s="26">
        <f t="shared" si="0"/>
        <v>0.58823529411764708</v>
      </c>
    </row>
    <row r="12" spans="1:10" s="15" customFormat="1" ht="12.6" customHeight="1" x14ac:dyDescent="0.25">
      <c r="A12" s="22" t="s">
        <v>30</v>
      </c>
      <c r="B12" s="23">
        <f>'[1]EJECUCION 08'!C11</f>
        <v>31350</v>
      </c>
      <c r="C12" s="23">
        <f>'[1]EJECUCION 08'!G11</f>
        <v>38020</v>
      </c>
      <c r="D12" s="23">
        <f>'[1]EJECUCION 08'!H11</f>
        <v>27570</v>
      </c>
      <c r="E12" s="23">
        <f>'[1]EJECUCION 08'!K11</f>
        <v>19636.18</v>
      </c>
      <c r="F12" s="24">
        <f t="shared" si="1"/>
        <v>10450</v>
      </c>
      <c r="G12" s="25">
        <f t="shared" si="2"/>
        <v>0.7122299601015597</v>
      </c>
      <c r="H12" s="26">
        <f t="shared" si="0"/>
        <v>0.51646975276170437</v>
      </c>
    </row>
    <row r="13" spans="1:10" s="15" customFormat="1" ht="22.5" x14ac:dyDescent="0.25">
      <c r="A13" s="22" t="s">
        <v>32</v>
      </c>
      <c r="B13" s="23">
        <f>'[1]EJECUCION 08'!C12</f>
        <v>153281</v>
      </c>
      <c r="C13" s="23">
        <f>'[1]EJECUCION 08'!G12</f>
        <v>174286</v>
      </c>
      <c r="D13" s="23">
        <f>'[1]EJECUCION 08'!H12</f>
        <v>123194</v>
      </c>
      <c r="E13" s="23">
        <f>'[1]EJECUCION 08'!K12</f>
        <v>78162.679999999993</v>
      </c>
      <c r="F13" s="24">
        <f t="shared" si="1"/>
        <v>51092</v>
      </c>
      <c r="G13" s="25">
        <f t="shared" si="2"/>
        <v>0.63446823708946853</v>
      </c>
      <c r="H13" s="26">
        <f t="shared" si="0"/>
        <v>0.44847365823990448</v>
      </c>
    </row>
    <row r="14" spans="1:10" s="15" customFormat="1" ht="21.75" customHeight="1" x14ac:dyDescent="0.25">
      <c r="A14" s="22" t="s">
        <v>34</v>
      </c>
      <c r="B14" s="23">
        <f>'[1]EJECUCION 08'!C13</f>
        <v>17546</v>
      </c>
      <c r="C14" s="23">
        <f>'[1]EJECUCION 08'!G13</f>
        <v>20465</v>
      </c>
      <c r="D14" s="23">
        <f>'[1]EJECUCION 08'!H13</f>
        <v>14617</v>
      </c>
      <c r="E14" s="23">
        <f>'[1]EJECUCION 08'!K13</f>
        <v>9131.52</v>
      </c>
      <c r="F14" s="24">
        <f t="shared" si="1"/>
        <v>5848</v>
      </c>
      <c r="G14" s="25">
        <f t="shared" si="2"/>
        <v>0.62471916261886851</v>
      </c>
      <c r="H14" s="26">
        <f t="shared" si="0"/>
        <v>0.44620180796481801</v>
      </c>
    </row>
    <row r="15" spans="1:10" s="15" customFormat="1" ht="24.75" customHeight="1" x14ac:dyDescent="0.25">
      <c r="A15" s="22" t="s">
        <v>36</v>
      </c>
      <c r="B15" s="23">
        <f>'[1]EJECUCION 08'!C14</f>
        <v>18680</v>
      </c>
      <c r="C15" s="23">
        <f>'[1]EJECUCION 08'!G14</f>
        <v>21337</v>
      </c>
      <c r="D15" s="23">
        <f>'[1]EJECUCION 08'!H14</f>
        <v>15109</v>
      </c>
      <c r="E15" s="23">
        <f>'[1]EJECUCION 08'!K14</f>
        <v>13225.09</v>
      </c>
      <c r="F15" s="24">
        <f t="shared" si="1"/>
        <v>6228</v>
      </c>
      <c r="G15" s="25">
        <f t="shared" si="2"/>
        <v>0.87531206565623143</v>
      </c>
      <c r="H15" s="26">
        <f t="shared" si="0"/>
        <v>0.61981956226273605</v>
      </c>
    </row>
    <row r="16" spans="1:10" s="15" customFormat="1" ht="22.5" x14ac:dyDescent="0.25">
      <c r="A16" s="22" t="s">
        <v>38</v>
      </c>
      <c r="B16" s="23">
        <f>'[1]EJECUCION 08'!C15</f>
        <v>3509</v>
      </c>
      <c r="C16" s="23">
        <f>'[1]EJECUCION 08'!G15</f>
        <v>4098</v>
      </c>
      <c r="D16" s="23">
        <f>'[1]EJECUCION 08'!H15</f>
        <v>2930</v>
      </c>
      <c r="E16" s="23">
        <f>'[1]EJECUCION 08'!K15</f>
        <v>2014.95</v>
      </c>
      <c r="F16" s="24">
        <f t="shared" ref="F16:F24" si="3">SUM(C16-D16)</f>
        <v>1168</v>
      </c>
      <c r="G16" s="25">
        <f t="shared" si="2"/>
        <v>0.6876962457337884</v>
      </c>
      <c r="H16" s="26">
        <f t="shared" si="0"/>
        <v>0.49169106881405567</v>
      </c>
    </row>
    <row r="17" spans="1:8" s="15" customFormat="1" ht="11.25" x14ac:dyDescent="0.25">
      <c r="A17" s="22" t="s">
        <v>176</v>
      </c>
      <c r="B17" s="23">
        <f>'[1]EJECUCION 08'!C16</f>
        <v>0</v>
      </c>
      <c r="C17" s="23">
        <f>'[1]EJECUCION 08'!G16</f>
        <v>11891</v>
      </c>
      <c r="D17" s="23">
        <f>'[1]EJECUCION 08'!H16</f>
        <v>11891</v>
      </c>
      <c r="E17" s="23">
        <f>'[1]EJECUCION 08'!K16</f>
        <v>9820</v>
      </c>
      <c r="F17" s="24">
        <f t="shared" si="3"/>
        <v>0</v>
      </c>
      <c r="G17" s="25">
        <f t="shared" si="2"/>
        <v>0.82583466487259272</v>
      </c>
      <c r="H17" s="26">
        <f t="shared" si="0"/>
        <v>0.82583466487259272</v>
      </c>
    </row>
    <row r="18" spans="1:8" s="15" customFormat="1" ht="11.25" x14ac:dyDescent="0.25">
      <c r="A18" s="22" t="s">
        <v>177</v>
      </c>
      <c r="B18" s="23">
        <f>'[1]EJECUCION 08'!C17</f>
        <v>0</v>
      </c>
      <c r="C18" s="23">
        <f>'[1]EJECUCION 08'!G17</f>
        <v>364</v>
      </c>
      <c r="D18" s="23">
        <f>'[1]EJECUCION 08'!H17</f>
        <v>364</v>
      </c>
      <c r="E18" s="23">
        <f>'[1]EJECUCION 08'!K17</f>
        <v>108.47</v>
      </c>
      <c r="F18" s="24">
        <f t="shared" si="3"/>
        <v>0</v>
      </c>
      <c r="G18" s="25">
        <f t="shared" si="2"/>
        <v>0.29799450549450551</v>
      </c>
      <c r="H18" s="26">
        <f t="shared" si="0"/>
        <v>0.29799450549450551</v>
      </c>
    </row>
    <row r="19" spans="1:8" s="15" customFormat="1" ht="22.5" x14ac:dyDescent="0.2">
      <c r="A19" s="27" t="s">
        <v>44</v>
      </c>
      <c r="B19" s="23">
        <f>'[1]EJECUCION 08'!C18</f>
        <v>0</v>
      </c>
      <c r="C19" s="23">
        <f>'[1]EJECUCION 08'!G18</f>
        <v>2184</v>
      </c>
      <c r="D19" s="23">
        <f>'[1]EJECUCION 08'!H18</f>
        <v>2184</v>
      </c>
      <c r="E19" s="23">
        <f>'[1]EJECUCION 08'!K18</f>
        <v>1856.79</v>
      </c>
      <c r="F19" s="24">
        <f t="shared" si="3"/>
        <v>0</v>
      </c>
      <c r="G19" s="25">
        <f t="shared" si="2"/>
        <v>0.85017857142857145</v>
      </c>
      <c r="H19" s="26">
        <f t="shared" si="0"/>
        <v>0.85017857142857145</v>
      </c>
    </row>
    <row r="20" spans="1:8" s="15" customFormat="1" ht="15" customHeight="1" x14ac:dyDescent="0.25">
      <c r="A20" s="28" t="s">
        <v>45</v>
      </c>
      <c r="B20" s="17">
        <f>'[1]EJECUCION 08'!C19</f>
        <v>472457</v>
      </c>
      <c r="C20" s="17">
        <f>'[1]EJECUCION 08'!G19</f>
        <v>483816</v>
      </c>
      <c r="D20" s="17">
        <f>'[1]EJECUCION 08'!H19</f>
        <v>447289</v>
      </c>
      <c r="E20" s="17">
        <f>'[1]EJECUCION 08'!K19</f>
        <v>256905.79999999996</v>
      </c>
      <c r="F20" s="19">
        <f t="shared" si="3"/>
        <v>36527</v>
      </c>
      <c r="G20" s="20">
        <f t="shared" si="2"/>
        <v>0.57436198967557883</v>
      </c>
      <c r="H20" s="21">
        <f t="shared" si="0"/>
        <v>0.53099897481687242</v>
      </c>
    </row>
    <row r="21" spans="1:8" s="15" customFormat="1" ht="11.25" x14ac:dyDescent="0.25">
      <c r="A21" s="28" t="s">
        <v>93</v>
      </c>
      <c r="B21" s="17">
        <f>'[1]EJECUCION 08'!C51</f>
        <v>54867</v>
      </c>
      <c r="C21" s="17">
        <f>'[1]EJECUCION 08'!G51</f>
        <v>68128</v>
      </c>
      <c r="D21" s="17">
        <f>'[1]EJECUCION 08'!H51</f>
        <v>66628</v>
      </c>
      <c r="E21" s="17">
        <f>'[1]EJECUCION 08'!K51</f>
        <v>37642.31</v>
      </c>
      <c r="F21" s="19">
        <f t="shared" si="3"/>
        <v>1500</v>
      </c>
      <c r="G21" s="20">
        <f t="shared" si="2"/>
        <v>0.56496232815032721</v>
      </c>
      <c r="H21" s="21">
        <f t="shared" si="0"/>
        <v>0.55252333842179424</v>
      </c>
    </row>
    <row r="22" spans="1:8" s="15" customFormat="1" ht="22.5" x14ac:dyDescent="0.25">
      <c r="A22" s="28" t="s">
        <v>143</v>
      </c>
      <c r="B22" s="17">
        <f>'[1]EJECUCION 08'!C83</f>
        <v>0</v>
      </c>
      <c r="C22" s="17">
        <f>'[1]EJECUCION 08'!G83</f>
        <v>43174</v>
      </c>
      <c r="D22" s="17">
        <f>'[1]EJECUCION 08'!H83</f>
        <v>43174</v>
      </c>
      <c r="E22" s="17">
        <f>'[1]EJECUCION 08'!K83</f>
        <v>37732.35</v>
      </c>
      <c r="F22" s="19">
        <f t="shared" si="3"/>
        <v>0</v>
      </c>
      <c r="G22" s="20">
        <f t="shared" si="2"/>
        <v>0.87396002223560476</v>
      </c>
      <c r="H22" s="21">
        <f t="shared" si="0"/>
        <v>0.87396002223560476</v>
      </c>
    </row>
    <row r="23" spans="1:8" s="15" customFormat="1" ht="12" thickBot="1" x14ac:dyDescent="0.3">
      <c r="A23" s="28" t="s">
        <v>154</v>
      </c>
      <c r="B23" s="29">
        <f>'[1]EJECUCION 08'!C91</f>
        <v>268</v>
      </c>
      <c r="C23" s="17">
        <f>'[1]EJECUCION 08'!G91</f>
        <v>15995</v>
      </c>
      <c r="D23" s="17">
        <f>'[1]EJECUCION 08'!H91</f>
        <v>15995</v>
      </c>
      <c r="E23" s="17">
        <f>'[1]EJECUCION 08'!K91</f>
        <v>15726.5</v>
      </c>
      <c r="F23" s="30">
        <f t="shared" si="3"/>
        <v>0</v>
      </c>
      <c r="G23" s="31">
        <f t="shared" si="2"/>
        <v>0.98321350422006881</v>
      </c>
      <c r="H23" s="32">
        <f t="shared" si="0"/>
        <v>0.98321350422006881</v>
      </c>
    </row>
    <row r="24" spans="1:8" ht="15.75" thickBot="1" x14ac:dyDescent="0.3">
      <c r="A24" s="33" t="s">
        <v>161</v>
      </c>
      <c r="B24" s="29">
        <f>'[1]EJECUCION 08'!C96</f>
        <v>0</v>
      </c>
      <c r="C24" s="34">
        <f>'[1]EJECUCION 08'!G96</f>
        <v>100000</v>
      </c>
      <c r="D24" s="34">
        <f>'[1]EJECUCION 08'!H96</f>
        <v>100000</v>
      </c>
      <c r="E24" s="34">
        <f>'[1]EJECUCION 08'!K96</f>
        <v>84858.89</v>
      </c>
      <c r="F24" s="35">
        <f t="shared" si="3"/>
        <v>0</v>
      </c>
      <c r="G24" s="36">
        <f t="shared" si="2"/>
        <v>0.84858889999999998</v>
      </c>
      <c r="H24" s="32">
        <f t="shared" si="0"/>
        <v>0.84858889999999998</v>
      </c>
    </row>
    <row r="25" spans="1:8" hidden="1" x14ac:dyDescent="0.25">
      <c r="B25" s="37" t="s">
        <v>178</v>
      </c>
      <c r="C25" s="38" t="s">
        <v>179</v>
      </c>
      <c r="D25" s="39" t="s">
        <v>180</v>
      </c>
      <c r="E25" s="38" t="s">
        <v>181</v>
      </c>
    </row>
  </sheetData>
  <mergeCells count="10">
    <mergeCell ref="A1:H1"/>
    <mergeCell ref="A2:H2"/>
    <mergeCell ref="A3:H3"/>
    <mergeCell ref="A4:H4"/>
    <mergeCell ref="A5:A7"/>
    <mergeCell ref="B5:D5"/>
    <mergeCell ref="E5:E6"/>
    <mergeCell ref="F5:F6"/>
    <mergeCell ref="G5:G7"/>
    <mergeCell ref="H5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P107"/>
  <sheetViews>
    <sheetView topLeftCell="A4" workbookViewId="0">
      <selection activeCell="A5" sqref="A5:S5"/>
    </sheetView>
  </sheetViews>
  <sheetFormatPr baseColWidth="10" defaultColWidth="18.7109375" defaultRowHeight="12" x14ac:dyDescent="0.2"/>
  <cols>
    <col min="1" max="1" width="3.7109375" style="49" customWidth="1"/>
    <col min="2" max="2" width="32.7109375" style="49" customWidth="1"/>
    <col min="3" max="3" width="13.28515625" style="123" customWidth="1"/>
    <col min="4" max="4" width="13" style="49" customWidth="1"/>
    <col min="5" max="5" width="14.140625" style="123" customWidth="1"/>
    <col min="6" max="6" width="16.85546875" style="123" customWidth="1"/>
    <col min="7" max="7" width="14.28515625" style="123" customWidth="1"/>
    <col min="8" max="8" width="12.5703125" style="123" customWidth="1"/>
    <col min="9" max="9" width="13.140625" style="123" customWidth="1"/>
    <col min="10" max="10" width="13.42578125" style="123" customWidth="1"/>
    <col min="11" max="11" width="15.140625" style="133" customWidth="1"/>
    <col min="12" max="12" width="14.28515625" style="123" customWidth="1"/>
    <col min="13" max="13" width="12.28515625" style="123" customWidth="1"/>
    <col min="14" max="14" width="12.85546875" style="49" customWidth="1"/>
    <col min="15" max="15" width="12.140625" style="49" customWidth="1"/>
    <col min="16" max="16" width="13.7109375" style="49" customWidth="1"/>
    <col min="17" max="17" width="12.5703125" style="124" customWidth="1"/>
    <col min="18" max="18" width="11.5703125" style="49" customWidth="1"/>
    <col min="19" max="19" width="9.85546875" style="49" customWidth="1"/>
    <col min="20" max="16384" width="18.7109375" style="49"/>
  </cols>
  <sheetData>
    <row r="1" spans="1:19" x14ac:dyDescent="0.2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</row>
    <row r="2" spans="1:19" x14ac:dyDescent="0.2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</row>
    <row r="3" spans="1:19" x14ac:dyDescent="0.2">
      <c r="A3" s="148" t="s">
        <v>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</row>
    <row r="4" spans="1:19" x14ac:dyDescent="0.2">
      <c r="A4" s="147" t="s">
        <v>3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</row>
    <row r="5" spans="1:19" ht="12.75" thickBot="1" x14ac:dyDescent="0.25">
      <c r="A5" s="149" t="s">
        <v>4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</row>
    <row r="6" spans="1:19" s="48" customFormat="1" ht="96" customHeight="1" thickBot="1" x14ac:dyDescent="0.25">
      <c r="A6" s="41" t="s">
        <v>5</v>
      </c>
      <c r="B6" s="42" t="s">
        <v>6</v>
      </c>
      <c r="C6" s="45" t="s">
        <v>7</v>
      </c>
      <c r="D6" s="43" t="s">
        <v>8</v>
      </c>
      <c r="E6" s="45" t="s">
        <v>9</v>
      </c>
      <c r="F6" s="45" t="s">
        <v>10</v>
      </c>
      <c r="G6" s="126" t="s">
        <v>11</v>
      </c>
      <c r="H6" s="45" t="s">
        <v>12</v>
      </c>
      <c r="I6" s="45" t="s">
        <v>13</v>
      </c>
      <c r="J6" s="45" t="s">
        <v>14</v>
      </c>
      <c r="K6" s="126" t="s">
        <v>15</v>
      </c>
      <c r="L6" s="45" t="s">
        <v>16</v>
      </c>
      <c r="M6" s="45" t="s">
        <v>17</v>
      </c>
      <c r="N6" s="43" t="s">
        <v>18</v>
      </c>
      <c r="O6" s="43" t="s">
        <v>19</v>
      </c>
      <c r="P6" s="44" t="s">
        <v>20</v>
      </c>
      <c r="Q6" s="46" t="s">
        <v>21</v>
      </c>
      <c r="R6" s="46" t="s">
        <v>22</v>
      </c>
      <c r="S6" s="47" t="s">
        <v>23</v>
      </c>
    </row>
    <row r="7" spans="1:19" s="48" customFormat="1" ht="21.75" customHeight="1" thickBot="1" x14ac:dyDescent="0.25">
      <c r="A7" s="145" t="s">
        <v>24</v>
      </c>
      <c r="B7" s="146"/>
      <c r="C7" s="50">
        <f t="shared" ref="C7:N7" si="0">C8+C19+C51+C83+C91+C96</f>
        <v>1939718</v>
      </c>
      <c r="D7" s="50">
        <f t="shared" si="0"/>
        <v>0</v>
      </c>
      <c r="E7" s="50">
        <f t="shared" si="0"/>
        <v>1939718</v>
      </c>
      <c r="F7" s="50">
        <f t="shared" si="0"/>
        <v>388813</v>
      </c>
      <c r="G7" s="50">
        <f>G8+G19+G51+G83+G91+G96</f>
        <v>2328531</v>
      </c>
      <c r="H7" s="50">
        <f t="shared" si="0"/>
        <v>1819798</v>
      </c>
      <c r="I7" s="50">
        <f t="shared" si="0"/>
        <v>80917</v>
      </c>
      <c r="J7" s="50">
        <f t="shared" si="0"/>
        <v>1213210.8099999998</v>
      </c>
      <c r="K7" s="50">
        <f t="shared" si="0"/>
        <v>1337924.8699999999</v>
      </c>
      <c r="L7" s="50">
        <f>L8+L19+L51+L83+L91+L96</f>
        <v>562790.13000000012</v>
      </c>
      <c r="M7" s="50">
        <f t="shared" si="0"/>
        <v>508733</v>
      </c>
      <c r="N7" s="50">
        <f t="shared" si="0"/>
        <v>990606.13000000024</v>
      </c>
      <c r="O7" s="50">
        <f>O8+O19+O51+O83+O91+O96</f>
        <v>952843.18999999983</v>
      </c>
      <c r="P7" s="50">
        <f>P8+P19+P51+P83+P91+P96</f>
        <v>385081.68000000005</v>
      </c>
      <c r="Q7" s="51">
        <f t="shared" ref="Q7:Q35" si="1">SUM(K7/H7*100%)</f>
        <v>0.73520515463804215</v>
      </c>
      <c r="R7" s="51">
        <f t="shared" ref="R7:R35" si="2">SUM(J7/G7*100%)</f>
        <v>0.52101982322760565</v>
      </c>
      <c r="S7" s="51">
        <f t="shared" ref="S7:S35" si="3">SUM(K7/G7*100%)</f>
        <v>0.57457893839506535</v>
      </c>
    </row>
    <row r="8" spans="1:19" s="48" customFormat="1" ht="34.5" customHeight="1" thickBot="1" x14ac:dyDescent="0.25">
      <c r="A8" s="52">
        <v>0</v>
      </c>
      <c r="B8" s="53" t="s">
        <v>25</v>
      </c>
      <c r="C8" s="54">
        <f>SUM(C9:C18)</f>
        <v>1412126</v>
      </c>
      <c r="D8" s="54">
        <f>SUM(D9:D18)</f>
        <v>0</v>
      </c>
      <c r="E8" s="54">
        <f>SUM(E9:E18)</f>
        <v>1412126</v>
      </c>
      <c r="F8" s="54">
        <f t="shared" ref="F8:P8" si="4">SUM(F9:F18)</f>
        <v>205292</v>
      </c>
      <c r="G8" s="55">
        <f t="shared" si="4"/>
        <v>1617418</v>
      </c>
      <c r="H8" s="54">
        <f t="shared" si="4"/>
        <v>1146712</v>
      </c>
      <c r="I8" s="54">
        <f t="shared" si="4"/>
        <v>0</v>
      </c>
      <c r="J8" s="54">
        <f t="shared" si="4"/>
        <v>865044.0199999999</v>
      </c>
      <c r="K8" s="56">
        <f t="shared" si="4"/>
        <v>905059.0199999999</v>
      </c>
      <c r="L8" s="54">
        <f>SUM(L9:L18)</f>
        <v>241652.98000000004</v>
      </c>
      <c r="M8" s="54">
        <f t="shared" si="4"/>
        <v>470706</v>
      </c>
      <c r="N8" s="54">
        <f t="shared" si="4"/>
        <v>712358.9800000001</v>
      </c>
      <c r="O8" s="54">
        <f>SUM(O9:O18)</f>
        <v>801989.00999999989</v>
      </c>
      <c r="P8" s="55">
        <f t="shared" si="4"/>
        <v>103070.01000000004</v>
      </c>
      <c r="Q8" s="57">
        <f t="shared" si="1"/>
        <v>0.78926445349834995</v>
      </c>
      <c r="R8" s="57">
        <f t="shared" si="2"/>
        <v>0.53483021704964329</v>
      </c>
      <c r="S8" s="57">
        <f t="shared" si="3"/>
        <v>0.55957026569507695</v>
      </c>
    </row>
    <row r="9" spans="1:19" ht="21.75" customHeight="1" x14ac:dyDescent="0.2">
      <c r="A9" s="58">
        <v>1</v>
      </c>
      <c r="B9" s="59" t="s">
        <v>26</v>
      </c>
      <c r="C9" s="66">
        <v>1133760</v>
      </c>
      <c r="D9" s="60">
        <v>0</v>
      </c>
      <c r="E9" s="66">
        <v>1133760</v>
      </c>
      <c r="F9" s="66">
        <f>54240-15727+121500</f>
        <v>160013</v>
      </c>
      <c r="G9" s="127">
        <f t="shared" ref="G9:G18" si="5">SUM(E9+F9)</f>
        <v>1293773</v>
      </c>
      <c r="H9" s="60">
        <f>(94480+94480-7800+91842+159158+78753+115064-20584+215980+94480)</f>
        <v>915853</v>
      </c>
      <c r="I9" s="60">
        <v>0</v>
      </c>
      <c r="J9" s="60">
        <f>SUM(86500+161500+87683.34+87071.67+92350+97033.33+94950)</f>
        <v>707088.34</v>
      </c>
      <c r="K9" s="132">
        <f>343930+86233.34+97880+97880+115180</f>
        <v>741103.34</v>
      </c>
      <c r="L9" s="61">
        <f t="shared" ref="L9:L18" si="6">SUM(H9-K9)</f>
        <v>174749.66000000003</v>
      </c>
      <c r="M9" s="61">
        <f t="shared" ref="M9:M18" si="7">SUM(G9-H9)</f>
        <v>377920</v>
      </c>
      <c r="N9" s="61">
        <f t="shared" ref="N9:N18" si="8">SUM(-I9+L9+M9)</f>
        <v>552669.66</v>
      </c>
      <c r="O9" s="60">
        <f>15757.23+65198.07+201295.9+311943+62177.95</f>
        <v>656372.14999999991</v>
      </c>
      <c r="P9" s="62">
        <f t="shared" ref="P9:P50" si="9">SUM(K9-O9)</f>
        <v>84731.190000000061</v>
      </c>
      <c r="Q9" s="63">
        <f t="shared" si="1"/>
        <v>0.80919464149814435</v>
      </c>
      <c r="R9" s="63">
        <f t="shared" si="2"/>
        <v>0.54653199595292212</v>
      </c>
      <c r="S9" s="63">
        <f t="shared" si="3"/>
        <v>0.57282331599129055</v>
      </c>
    </row>
    <row r="10" spans="1:19" ht="21.75" customHeight="1" x14ac:dyDescent="0.2">
      <c r="A10" s="58" t="s">
        <v>27</v>
      </c>
      <c r="B10" s="59" t="s">
        <v>28</v>
      </c>
      <c r="C10" s="66">
        <v>54000</v>
      </c>
      <c r="D10" s="60">
        <v>0</v>
      </c>
      <c r="E10" s="66">
        <v>54000</v>
      </c>
      <c r="F10" s="66">
        <v>-3000</v>
      </c>
      <c r="G10" s="127">
        <f t="shared" si="5"/>
        <v>51000</v>
      </c>
      <c r="H10" s="60">
        <f>(4500+4500-1500+4500+3000+4500+4500+4500+4500)</f>
        <v>33000</v>
      </c>
      <c r="I10" s="60">
        <v>0</v>
      </c>
      <c r="J10" s="60">
        <f>SUM(3000+6000+3000+3000+3000+3000+3000)</f>
        <v>24000</v>
      </c>
      <c r="K10" s="132">
        <f>13500+3000+4500+4500+4500</f>
        <v>30000</v>
      </c>
      <c r="L10" s="61">
        <f t="shared" si="6"/>
        <v>3000</v>
      </c>
      <c r="M10" s="61">
        <f t="shared" si="7"/>
        <v>18000</v>
      </c>
      <c r="N10" s="61">
        <f t="shared" si="8"/>
        <v>21000</v>
      </c>
      <c r="O10" s="64">
        <f>638.34+1276.68+8361.66+10084.98+1819.17</f>
        <v>22180.83</v>
      </c>
      <c r="P10" s="62">
        <f t="shared" si="9"/>
        <v>7819.1699999999983</v>
      </c>
      <c r="Q10" s="63">
        <f t="shared" si="1"/>
        <v>0.90909090909090906</v>
      </c>
      <c r="R10" s="63">
        <f t="shared" si="2"/>
        <v>0.47058823529411764</v>
      </c>
      <c r="S10" s="63">
        <f t="shared" si="3"/>
        <v>0.58823529411764708</v>
      </c>
    </row>
    <row r="11" spans="1:19" ht="21.75" customHeight="1" x14ac:dyDescent="0.2">
      <c r="A11" s="65" t="s">
        <v>29</v>
      </c>
      <c r="B11" s="59" t="s">
        <v>30</v>
      </c>
      <c r="C11" s="66">
        <v>31350</v>
      </c>
      <c r="D11" s="60">
        <v>0</v>
      </c>
      <c r="E11" s="66">
        <v>31350</v>
      </c>
      <c r="F11" s="66">
        <f>1170+5500</f>
        <v>6670</v>
      </c>
      <c r="G11" s="127">
        <f t="shared" si="5"/>
        <v>38020</v>
      </c>
      <c r="H11" s="60">
        <f>(10404+23+1193+15950)</f>
        <v>27570</v>
      </c>
      <c r="I11" s="60">
        <v>0</v>
      </c>
      <c r="J11" s="66">
        <f>SUM(9367+138.65+62.65+10068-0.12)</f>
        <v>19636.18</v>
      </c>
      <c r="K11" s="132">
        <f>9505.65+62.65+10067.88</f>
        <v>19636.18</v>
      </c>
      <c r="L11" s="61">
        <f t="shared" si="6"/>
        <v>7933.82</v>
      </c>
      <c r="M11" s="61">
        <f t="shared" si="7"/>
        <v>10450</v>
      </c>
      <c r="N11" s="61">
        <f t="shared" si="8"/>
        <v>18383.82</v>
      </c>
      <c r="O11" s="64">
        <f>8687.63+10+9274.34</f>
        <v>17971.97</v>
      </c>
      <c r="P11" s="62">
        <f t="shared" si="9"/>
        <v>1664.2099999999991</v>
      </c>
      <c r="Q11" s="63">
        <f t="shared" si="1"/>
        <v>0.7122299601015597</v>
      </c>
      <c r="R11" s="63">
        <f t="shared" si="2"/>
        <v>0.51646975276170437</v>
      </c>
      <c r="S11" s="63">
        <f t="shared" si="3"/>
        <v>0.51646975276170437</v>
      </c>
    </row>
    <row r="12" spans="1:19" ht="21.75" customHeight="1" x14ac:dyDescent="0.2">
      <c r="A12" s="58" t="s">
        <v>31</v>
      </c>
      <c r="B12" s="59" t="s">
        <v>32</v>
      </c>
      <c r="C12" s="66">
        <v>153281</v>
      </c>
      <c r="D12" s="60">
        <v>0</v>
      </c>
      <c r="E12" s="66">
        <v>153281</v>
      </c>
      <c r="F12" s="66">
        <f>5444+15561</f>
        <v>21005</v>
      </c>
      <c r="G12" s="127">
        <f t="shared" si="5"/>
        <v>174286</v>
      </c>
      <c r="H12" s="60">
        <f>(12774+12774-3823+12774+22041+12774+12773+28334+12773)</f>
        <v>123194</v>
      </c>
      <c r="I12" s="60">
        <v>0</v>
      </c>
      <c r="J12" s="60">
        <f>SUM(22100+9827.33+11108.71+11178.03+11687.13+12261.48)</f>
        <v>78162.679999999993</v>
      </c>
      <c r="K12" s="132">
        <f>31927.33+11108.71+11178.03+11687.13+12261.48</f>
        <v>78162.679999999993</v>
      </c>
      <c r="L12" s="61">
        <f t="shared" si="6"/>
        <v>45031.320000000007</v>
      </c>
      <c r="M12" s="61">
        <f t="shared" si="7"/>
        <v>51092</v>
      </c>
      <c r="N12" s="61">
        <f t="shared" si="8"/>
        <v>96123.32</v>
      </c>
      <c r="O12" s="64">
        <f>10902.52+21009.86+22142.48+11839.6+12254.09</f>
        <v>78148.55</v>
      </c>
      <c r="P12" s="62">
        <f t="shared" si="9"/>
        <v>14.129999999990105</v>
      </c>
      <c r="Q12" s="63">
        <f t="shared" si="1"/>
        <v>0.63446823708946853</v>
      </c>
      <c r="R12" s="63">
        <f t="shared" si="2"/>
        <v>0.44847365823990448</v>
      </c>
      <c r="S12" s="63">
        <f t="shared" si="3"/>
        <v>0.44847365823990448</v>
      </c>
    </row>
    <row r="13" spans="1:19" ht="21.75" customHeight="1" x14ac:dyDescent="0.2">
      <c r="A13" s="58" t="s">
        <v>33</v>
      </c>
      <c r="B13" s="59" t="s">
        <v>34</v>
      </c>
      <c r="C13" s="66">
        <v>17546</v>
      </c>
      <c r="D13" s="60">
        <v>0</v>
      </c>
      <c r="E13" s="66">
        <v>17546</v>
      </c>
      <c r="F13" s="66">
        <f>1094+1825</f>
        <v>2919</v>
      </c>
      <c r="G13" s="127">
        <f t="shared" si="5"/>
        <v>20465</v>
      </c>
      <c r="H13" s="60">
        <f>(1463+1463+1462+2556+1462+1462+3287+1462)</f>
        <v>14617</v>
      </c>
      <c r="I13" s="60">
        <v>0</v>
      </c>
      <c r="J13" s="60">
        <f>SUM(2495+1156.72+1315.3+1323.75+1385.25+1455.5)</f>
        <v>9131.52</v>
      </c>
      <c r="K13" s="132">
        <f>3651.77+1315.25+1323.75+1385.25+1455.5</f>
        <v>9131.52</v>
      </c>
      <c r="L13" s="61">
        <f t="shared" si="6"/>
        <v>5485.48</v>
      </c>
      <c r="M13" s="61">
        <f t="shared" si="7"/>
        <v>5848</v>
      </c>
      <c r="N13" s="61">
        <f t="shared" si="8"/>
        <v>11333.48</v>
      </c>
      <c r="O13" s="64">
        <f>1290+2361.77+2621.33+1402.92+1455.5</f>
        <v>9131.52</v>
      </c>
      <c r="P13" s="62">
        <f t="shared" si="9"/>
        <v>0</v>
      </c>
      <c r="Q13" s="63">
        <f t="shared" si="1"/>
        <v>0.62471916261886851</v>
      </c>
      <c r="R13" s="63">
        <f t="shared" si="2"/>
        <v>0.44620180796481801</v>
      </c>
      <c r="S13" s="63">
        <f t="shared" si="3"/>
        <v>0.44620180796481801</v>
      </c>
    </row>
    <row r="14" spans="1:19" ht="21.75" customHeight="1" x14ac:dyDescent="0.2">
      <c r="A14" s="58" t="s">
        <v>35</v>
      </c>
      <c r="B14" s="59" t="s">
        <v>36</v>
      </c>
      <c r="C14" s="66">
        <v>18680</v>
      </c>
      <c r="D14" s="60">
        <v>0</v>
      </c>
      <c r="E14" s="66">
        <v>18680</v>
      </c>
      <c r="F14" s="66">
        <f>832+1825</f>
        <v>2657</v>
      </c>
      <c r="G14" s="127">
        <f t="shared" si="5"/>
        <v>21337</v>
      </c>
      <c r="H14" s="60">
        <f>(1556+1556-262+1556+2650+1557+1557+3382+1157+400)</f>
        <v>15109</v>
      </c>
      <c r="I14" s="60">
        <v>0</v>
      </c>
      <c r="J14" s="60">
        <f>SUM(3619+1682.45+1904.35+1916.24+2002.35+2100.7)</f>
        <v>13225.09</v>
      </c>
      <c r="K14" s="132">
        <f>5301.45+1904.35+1916.24+2002.35+2100.7</f>
        <v>13225.09</v>
      </c>
      <c r="L14" s="61">
        <f t="shared" si="6"/>
        <v>1883.9099999999999</v>
      </c>
      <c r="M14" s="61">
        <f t="shared" si="7"/>
        <v>6228</v>
      </c>
      <c r="N14" s="61">
        <f t="shared" si="8"/>
        <v>8111.91</v>
      </c>
      <c r="O14" s="64">
        <f>1869+3432.45+3795.86+2027.08+2100.7</f>
        <v>13225.09</v>
      </c>
      <c r="P14" s="62">
        <f t="shared" si="9"/>
        <v>0</v>
      </c>
      <c r="Q14" s="63">
        <f t="shared" si="1"/>
        <v>0.87531206565623143</v>
      </c>
      <c r="R14" s="63">
        <f t="shared" si="2"/>
        <v>0.61981956226273605</v>
      </c>
      <c r="S14" s="63">
        <f t="shared" si="3"/>
        <v>0.61981956226273605</v>
      </c>
    </row>
    <row r="15" spans="1:19" ht="21.75" customHeight="1" x14ac:dyDescent="0.2">
      <c r="A15" s="58" t="s">
        <v>37</v>
      </c>
      <c r="B15" s="59" t="s">
        <v>38</v>
      </c>
      <c r="C15" s="66">
        <v>3509</v>
      </c>
      <c r="D15" s="60">
        <v>0</v>
      </c>
      <c r="E15" s="66">
        <v>3509</v>
      </c>
      <c r="F15" s="66">
        <f>219+370</f>
        <v>589</v>
      </c>
      <c r="G15" s="127">
        <f t="shared" si="5"/>
        <v>4098</v>
      </c>
      <c r="H15" s="60">
        <f>(293+293+293+512+293+292+662+292)</f>
        <v>2930</v>
      </c>
      <c r="I15" s="60">
        <v>0</v>
      </c>
      <c r="J15" s="60">
        <f>SUM(495+227+236.1+503.7+276.1+277.05)</f>
        <v>2014.95</v>
      </c>
      <c r="K15" s="132">
        <f>722.15+235.95+503.7+276.1+277.05</f>
        <v>2014.95</v>
      </c>
      <c r="L15" s="61">
        <f t="shared" si="6"/>
        <v>915.05</v>
      </c>
      <c r="M15" s="61">
        <f t="shared" si="7"/>
        <v>1168</v>
      </c>
      <c r="N15" s="61">
        <f t="shared" si="8"/>
        <v>2083.0500000000002</v>
      </c>
      <c r="O15" s="64">
        <f>480.15+495.35+486.3+276.1</f>
        <v>1737.9</v>
      </c>
      <c r="P15" s="62">
        <f t="shared" si="9"/>
        <v>277.04999999999995</v>
      </c>
      <c r="Q15" s="63">
        <f t="shared" si="1"/>
        <v>0.6876962457337884</v>
      </c>
      <c r="R15" s="63">
        <f t="shared" si="2"/>
        <v>0.49169106881405567</v>
      </c>
      <c r="S15" s="63">
        <f t="shared" si="3"/>
        <v>0.49169106881405567</v>
      </c>
    </row>
    <row r="16" spans="1:19" ht="21.75" customHeight="1" x14ac:dyDescent="0.2">
      <c r="A16" s="65" t="s">
        <v>39</v>
      </c>
      <c r="B16" s="59" t="s">
        <v>40</v>
      </c>
      <c r="C16" s="60">
        <v>0</v>
      </c>
      <c r="D16" s="60">
        <v>0</v>
      </c>
      <c r="E16" s="60">
        <v>0</v>
      </c>
      <c r="F16" s="66">
        <v>11891</v>
      </c>
      <c r="G16" s="127">
        <f t="shared" si="5"/>
        <v>11891</v>
      </c>
      <c r="H16" s="60">
        <f>(2000+2270+7621)</f>
        <v>11891</v>
      </c>
      <c r="I16" s="60">
        <v>0</v>
      </c>
      <c r="J16" s="60">
        <f>SUM(4270+5550)</f>
        <v>9820</v>
      </c>
      <c r="K16" s="132">
        <v>9820</v>
      </c>
      <c r="L16" s="61">
        <f t="shared" si="6"/>
        <v>2071</v>
      </c>
      <c r="M16" s="61">
        <f t="shared" si="7"/>
        <v>0</v>
      </c>
      <c r="N16" s="61">
        <f t="shared" si="8"/>
        <v>2071</v>
      </c>
      <c r="O16" s="64">
        <f>1182.66+285.69</f>
        <v>1468.3500000000001</v>
      </c>
      <c r="P16" s="62">
        <f t="shared" si="9"/>
        <v>8351.65</v>
      </c>
      <c r="Q16" s="63">
        <f t="shared" si="1"/>
        <v>0.82583466487259272</v>
      </c>
      <c r="R16" s="63">
        <f t="shared" si="2"/>
        <v>0.82583466487259272</v>
      </c>
      <c r="S16" s="63">
        <f t="shared" si="3"/>
        <v>0.82583466487259272</v>
      </c>
    </row>
    <row r="17" spans="1:250" ht="21.75" customHeight="1" x14ac:dyDescent="0.2">
      <c r="A17" s="65" t="s">
        <v>41</v>
      </c>
      <c r="B17" s="59" t="s">
        <v>42</v>
      </c>
      <c r="C17" s="60">
        <v>0</v>
      </c>
      <c r="D17" s="60">
        <v>0</v>
      </c>
      <c r="E17" s="60">
        <v>0</v>
      </c>
      <c r="F17" s="66">
        <v>364</v>
      </c>
      <c r="G17" s="127">
        <f t="shared" si="5"/>
        <v>364</v>
      </c>
      <c r="H17" s="60">
        <f>(23+341)</f>
        <v>364</v>
      </c>
      <c r="I17" s="60">
        <v>0</v>
      </c>
      <c r="J17" s="60">
        <v>108.47</v>
      </c>
      <c r="K17" s="132">
        <v>108.47</v>
      </c>
      <c r="L17" s="61">
        <f t="shared" si="6"/>
        <v>255.53</v>
      </c>
      <c r="M17" s="61">
        <f t="shared" si="7"/>
        <v>0</v>
      </c>
      <c r="N17" s="61">
        <f t="shared" si="8"/>
        <v>255.53</v>
      </c>
      <c r="O17" s="64">
        <v>6.54</v>
      </c>
      <c r="P17" s="62">
        <f t="shared" si="9"/>
        <v>101.92999999999999</v>
      </c>
      <c r="Q17" s="63">
        <f t="shared" si="1"/>
        <v>0.29799450549450551</v>
      </c>
      <c r="R17" s="63">
        <f t="shared" si="2"/>
        <v>0.29799450549450551</v>
      </c>
      <c r="S17" s="63">
        <f t="shared" si="3"/>
        <v>0.29799450549450551</v>
      </c>
    </row>
    <row r="18" spans="1:250" ht="30" customHeight="1" thickBot="1" x14ac:dyDescent="0.25">
      <c r="A18" s="67" t="s">
        <v>43</v>
      </c>
      <c r="B18" s="68" t="s">
        <v>44</v>
      </c>
      <c r="C18" s="60">
        <v>0</v>
      </c>
      <c r="D18" s="60">
        <v>0</v>
      </c>
      <c r="E18" s="60">
        <v>0</v>
      </c>
      <c r="F18" s="66">
        <v>2184</v>
      </c>
      <c r="G18" s="127">
        <f t="shared" si="5"/>
        <v>2184</v>
      </c>
      <c r="H18" s="60">
        <f>(585+368+1231)</f>
        <v>2184</v>
      </c>
      <c r="I18" s="60">
        <v>0</v>
      </c>
      <c r="J18" s="60">
        <f>SUM(949+907.79)</f>
        <v>1856.79</v>
      </c>
      <c r="K18" s="132">
        <v>1856.79</v>
      </c>
      <c r="L18" s="61">
        <f t="shared" si="6"/>
        <v>327.21000000000004</v>
      </c>
      <c r="M18" s="61">
        <f t="shared" si="7"/>
        <v>0</v>
      </c>
      <c r="N18" s="61">
        <f t="shared" si="8"/>
        <v>327.21000000000004</v>
      </c>
      <c r="O18" s="64">
        <f>259.2+1148.78+338.13</f>
        <v>1746.1100000000001</v>
      </c>
      <c r="P18" s="62">
        <f t="shared" si="9"/>
        <v>110.67999999999984</v>
      </c>
      <c r="Q18" s="63">
        <f t="shared" si="1"/>
        <v>0.85017857142857145</v>
      </c>
      <c r="R18" s="63">
        <f t="shared" si="2"/>
        <v>0.85017857142857145</v>
      </c>
      <c r="S18" s="63">
        <f t="shared" si="3"/>
        <v>0.85017857142857145</v>
      </c>
    </row>
    <row r="19" spans="1:250" s="48" customFormat="1" ht="34.5" customHeight="1" thickBot="1" x14ac:dyDescent="0.25">
      <c r="A19" s="69">
        <v>1</v>
      </c>
      <c r="B19" s="70" t="s">
        <v>45</v>
      </c>
      <c r="C19" s="71">
        <f>SUM(C20:C49)</f>
        <v>472457</v>
      </c>
      <c r="D19" s="71">
        <f>SUM(D20:D50)</f>
        <v>0</v>
      </c>
      <c r="E19" s="71">
        <f>SUM(E20:E50)</f>
        <v>472457</v>
      </c>
      <c r="F19" s="71">
        <f t="shared" ref="F19:O19" si="10">SUM(F20:F50)</f>
        <v>11359</v>
      </c>
      <c r="G19" s="73">
        <f t="shared" si="10"/>
        <v>483816</v>
      </c>
      <c r="H19" s="71">
        <f t="shared" si="10"/>
        <v>447289</v>
      </c>
      <c r="I19" s="71">
        <f t="shared" si="10"/>
        <v>80917</v>
      </c>
      <c r="J19" s="71">
        <f t="shared" si="10"/>
        <v>175476.74999999997</v>
      </c>
      <c r="K19" s="71">
        <f>SUM(K20:K50)</f>
        <v>256905.79999999996</v>
      </c>
      <c r="L19" s="71">
        <f t="shared" si="10"/>
        <v>271300.20000000007</v>
      </c>
      <c r="M19" s="71">
        <f t="shared" si="10"/>
        <v>36527</v>
      </c>
      <c r="N19" s="71">
        <f t="shared" si="10"/>
        <v>226910.20000000004</v>
      </c>
      <c r="O19" s="71">
        <f t="shared" si="10"/>
        <v>116016.80999999998</v>
      </c>
      <c r="P19" s="74">
        <f t="shared" si="9"/>
        <v>140888.99</v>
      </c>
      <c r="Q19" s="75">
        <f t="shared" si="1"/>
        <v>0.57436198967557883</v>
      </c>
      <c r="R19" s="75">
        <f t="shared" si="2"/>
        <v>0.36269315194206053</v>
      </c>
      <c r="S19" s="75">
        <f t="shared" si="3"/>
        <v>0.53099897481687242</v>
      </c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</row>
    <row r="20" spans="1:250" ht="21.75" customHeight="1" x14ac:dyDescent="0.2">
      <c r="A20" s="77" t="s">
        <v>46</v>
      </c>
      <c r="B20" s="59" t="s">
        <v>47</v>
      </c>
      <c r="C20" s="66">
        <v>170013</v>
      </c>
      <c r="D20" s="60">
        <v>0</v>
      </c>
      <c r="E20" s="66">
        <v>170013</v>
      </c>
      <c r="F20" s="66">
        <f>45130-66425</f>
        <v>-21295</v>
      </c>
      <c r="G20" s="127">
        <f t="shared" ref="G20:G50" si="11">SUM(E20+F20)</f>
        <v>148718</v>
      </c>
      <c r="H20" s="60">
        <f>SUM(110922-1726+54856-15334)</f>
        <v>148718</v>
      </c>
      <c r="I20" s="130">
        <v>80917</v>
      </c>
      <c r="J20" s="60">
        <f>47376+7221</f>
        <v>54597</v>
      </c>
      <c r="K20" s="78">
        <f>(109194+26320+28538-28538)</f>
        <v>135514</v>
      </c>
      <c r="L20" s="61">
        <f>SUM(H20+I20-K20)</f>
        <v>94121</v>
      </c>
      <c r="M20" s="61">
        <f t="shared" ref="M20:M40" si="12">SUM(G20-H20)</f>
        <v>0</v>
      </c>
      <c r="N20" s="61">
        <f t="shared" ref="N20:N50" si="13">SUM(-I20+L20+M20)</f>
        <v>13204</v>
      </c>
      <c r="O20" s="60">
        <f>47376+7221</f>
        <v>54597</v>
      </c>
      <c r="P20" s="62">
        <f t="shared" si="9"/>
        <v>80917</v>
      </c>
      <c r="Q20" s="63">
        <f t="shared" si="1"/>
        <v>0.9112145133743057</v>
      </c>
      <c r="R20" s="63">
        <f t="shared" si="2"/>
        <v>0.36711763202840275</v>
      </c>
      <c r="S20" s="63">
        <f t="shared" si="3"/>
        <v>0.9112145133743057</v>
      </c>
    </row>
    <row r="21" spans="1:250" ht="21.75" customHeight="1" x14ac:dyDescent="0.2">
      <c r="A21" s="58" t="s">
        <v>48</v>
      </c>
      <c r="B21" s="59" t="s">
        <v>49</v>
      </c>
      <c r="C21" s="60">
        <v>0</v>
      </c>
      <c r="D21" s="60">
        <v>0</v>
      </c>
      <c r="E21" s="60">
        <v>0</v>
      </c>
      <c r="F21" s="66">
        <f>SUM(3737-15+4000-2700)</f>
        <v>5022</v>
      </c>
      <c r="G21" s="127">
        <f t="shared" si="11"/>
        <v>5022</v>
      </c>
      <c r="H21" s="60">
        <f>SUM(3737-15+4000-2700)</f>
        <v>5022</v>
      </c>
      <c r="I21" s="60">
        <v>0</v>
      </c>
      <c r="J21" s="60">
        <f>3467-0.2</f>
        <v>3466.8</v>
      </c>
      <c r="K21" s="78">
        <f>(2311.2+1155.6)</f>
        <v>3466.7999999999997</v>
      </c>
      <c r="L21" s="61">
        <f t="shared" ref="L21:L50" si="14">SUM(H21-K21)</f>
        <v>1555.2000000000003</v>
      </c>
      <c r="M21" s="61">
        <f t="shared" si="12"/>
        <v>0</v>
      </c>
      <c r="N21" s="61">
        <f t="shared" si="13"/>
        <v>1555.2000000000003</v>
      </c>
      <c r="O21" s="64">
        <f>577.8+321+642+321</f>
        <v>1861.8</v>
      </c>
      <c r="P21" s="62">
        <f t="shared" si="9"/>
        <v>1604.9999999999998</v>
      </c>
      <c r="Q21" s="63">
        <f t="shared" si="1"/>
        <v>0.69032258064516128</v>
      </c>
      <c r="R21" s="63">
        <f t="shared" si="2"/>
        <v>0.69032258064516128</v>
      </c>
      <c r="S21" s="63">
        <f t="shared" si="3"/>
        <v>0.69032258064516128</v>
      </c>
    </row>
    <row r="22" spans="1:250" ht="21.75" customHeight="1" x14ac:dyDescent="0.2">
      <c r="A22" s="58">
        <v>109</v>
      </c>
      <c r="B22" s="59" t="s">
        <v>50</v>
      </c>
      <c r="C22" s="60">
        <v>0</v>
      </c>
      <c r="D22" s="60">
        <v>0</v>
      </c>
      <c r="E22" s="60">
        <v>0</v>
      </c>
      <c r="F22" s="66">
        <v>1000</v>
      </c>
      <c r="G22" s="127">
        <f t="shared" si="11"/>
        <v>1000</v>
      </c>
      <c r="H22" s="60">
        <f>SUM(1000)</f>
        <v>1000</v>
      </c>
      <c r="I22" s="60">
        <v>0</v>
      </c>
      <c r="J22" s="60">
        <v>0</v>
      </c>
      <c r="K22" s="78">
        <v>0</v>
      </c>
      <c r="L22" s="61">
        <f t="shared" si="14"/>
        <v>1000</v>
      </c>
      <c r="M22" s="61">
        <f t="shared" si="12"/>
        <v>0</v>
      </c>
      <c r="N22" s="61">
        <f t="shared" si="13"/>
        <v>1000</v>
      </c>
      <c r="O22" s="64">
        <v>0</v>
      </c>
      <c r="P22" s="62">
        <f t="shared" si="9"/>
        <v>0</v>
      </c>
      <c r="Q22" s="63">
        <f t="shared" si="1"/>
        <v>0</v>
      </c>
      <c r="R22" s="63">
        <f t="shared" si="2"/>
        <v>0</v>
      </c>
      <c r="S22" s="63">
        <f t="shared" si="3"/>
        <v>0</v>
      </c>
    </row>
    <row r="23" spans="1:250" ht="21.75" customHeight="1" x14ac:dyDescent="0.2">
      <c r="A23" s="65">
        <v>111</v>
      </c>
      <c r="B23" s="59" t="s">
        <v>51</v>
      </c>
      <c r="C23" s="66">
        <v>4530</v>
      </c>
      <c r="D23" s="60">
        <v>0</v>
      </c>
      <c r="E23" s="66">
        <v>4530</v>
      </c>
      <c r="F23" s="66">
        <v>500</v>
      </c>
      <c r="G23" s="127">
        <f t="shared" si="11"/>
        <v>5030</v>
      </c>
      <c r="H23" s="60">
        <f>(377.5+377.5+377.5+877+378+377.5+377.5+377.5)</f>
        <v>3520</v>
      </c>
      <c r="I23" s="60">
        <v>0</v>
      </c>
      <c r="J23" s="66">
        <v>70.040000000000006</v>
      </c>
      <c r="K23" s="78">
        <v>70.040000000000006</v>
      </c>
      <c r="L23" s="61">
        <f t="shared" si="14"/>
        <v>3449.96</v>
      </c>
      <c r="M23" s="61">
        <f t="shared" si="12"/>
        <v>1510</v>
      </c>
      <c r="N23" s="61">
        <f t="shared" si="13"/>
        <v>4959.96</v>
      </c>
      <c r="O23" s="64">
        <v>70.040000000000006</v>
      </c>
      <c r="P23" s="62">
        <f t="shared" si="9"/>
        <v>0</v>
      </c>
      <c r="Q23" s="63">
        <f t="shared" si="1"/>
        <v>1.9897727272727275E-2</v>
      </c>
      <c r="R23" s="63">
        <f t="shared" si="2"/>
        <v>1.3924453280318093E-2</v>
      </c>
      <c r="S23" s="63">
        <f t="shared" si="3"/>
        <v>1.3924453280318093E-2</v>
      </c>
    </row>
    <row r="24" spans="1:250" ht="21.75" customHeight="1" x14ac:dyDescent="0.2">
      <c r="A24" s="58" t="s">
        <v>52</v>
      </c>
      <c r="B24" s="59" t="s">
        <v>53</v>
      </c>
      <c r="C24" s="66">
        <v>2020</v>
      </c>
      <c r="D24" s="60">
        <v>0</v>
      </c>
      <c r="E24" s="66">
        <v>2020</v>
      </c>
      <c r="F24" s="66">
        <v>0</v>
      </c>
      <c r="G24" s="127">
        <f t="shared" si="11"/>
        <v>2020</v>
      </c>
      <c r="H24" s="60">
        <f>(169+169+169+169+169+169+169+169)</f>
        <v>1352</v>
      </c>
      <c r="I24" s="60">
        <v>0</v>
      </c>
      <c r="J24" s="60">
        <v>0</v>
      </c>
      <c r="K24" s="78">
        <v>0</v>
      </c>
      <c r="L24" s="61">
        <f t="shared" si="14"/>
        <v>1352</v>
      </c>
      <c r="M24" s="61">
        <f t="shared" si="12"/>
        <v>668</v>
      </c>
      <c r="N24" s="61">
        <f t="shared" si="13"/>
        <v>2020</v>
      </c>
      <c r="O24" s="64">
        <v>0</v>
      </c>
      <c r="P24" s="62">
        <f t="shared" si="9"/>
        <v>0</v>
      </c>
      <c r="Q24" s="63">
        <f t="shared" si="1"/>
        <v>0</v>
      </c>
      <c r="R24" s="63">
        <f t="shared" si="2"/>
        <v>0</v>
      </c>
      <c r="S24" s="63">
        <f t="shared" si="3"/>
        <v>0</v>
      </c>
    </row>
    <row r="25" spans="1:250" ht="21.75" customHeight="1" x14ac:dyDescent="0.2">
      <c r="A25" s="58" t="s">
        <v>54</v>
      </c>
      <c r="B25" s="59" t="s">
        <v>55</v>
      </c>
      <c r="C25" s="66">
        <v>704</v>
      </c>
      <c r="D25" s="60">
        <v>0</v>
      </c>
      <c r="E25" s="66">
        <v>704</v>
      </c>
      <c r="F25" s="66">
        <v>0</v>
      </c>
      <c r="G25" s="127">
        <f t="shared" si="11"/>
        <v>704</v>
      </c>
      <c r="H25" s="60">
        <v>704</v>
      </c>
      <c r="I25" s="60">
        <v>0</v>
      </c>
      <c r="J25" s="60">
        <v>0</v>
      </c>
      <c r="K25" s="78">
        <v>0</v>
      </c>
      <c r="L25" s="61">
        <f t="shared" si="14"/>
        <v>704</v>
      </c>
      <c r="M25" s="61">
        <f t="shared" si="12"/>
        <v>0</v>
      </c>
      <c r="N25" s="61">
        <f t="shared" si="13"/>
        <v>704</v>
      </c>
      <c r="O25" s="64">
        <v>0</v>
      </c>
      <c r="P25" s="62">
        <f t="shared" si="9"/>
        <v>0</v>
      </c>
      <c r="Q25" s="63">
        <f t="shared" si="1"/>
        <v>0</v>
      </c>
      <c r="R25" s="63">
        <f t="shared" si="2"/>
        <v>0</v>
      </c>
      <c r="S25" s="63">
        <f t="shared" si="3"/>
        <v>0</v>
      </c>
    </row>
    <row r="26" spans="1:250" ht="21.75" customHeight="1" x14ac:dyDescent="0.2">
      <c r="A26" s="58" t="s">
        <v>56</v>
      </c>
      <c r="B26" s="59" t="s">
        <v>57</v>
      </c>
      <c r="C26" s="66">
        <v>48360</v>
      </c>
      <c r="D26" s="60">
        <v>0</v>
      </c>
      <c r="E26" s="66">
        <f>SUM(C26+D26)</f>
        <v>48360</v>
      </c>
      <c r="F26" s="66">
        <f>2000+1000-25000</f>
        <v>-22000</v>
      </c>
      <c r="G26" s="127">
        <f t="shared" si="11"/>
        <v>26360</v>
      </c>
      <c r="H26" s="60">
        <f>SUM(3210+3200+4860+1000)</f>
        <v>12270</v>
      </c>
      <c r="I26" s="60">
        <v>0</v>
      </c>
      <c r="J26" s="66">
        <f>SUM(2714.08+1638.66+1651.01+1610.86+2029.96+1613.9)</f>
        <v>11258.47</v>
      </c>
      <c r="K26" s="78">
        <f>4352.74+1651.01+1610.86+2029.96+1613.9</f>
        <v>11258.47</v>
      </c>
      <c r="L26" s="61">
        <f t="shared" si="14"/>
        <v>1011.5300000000007</v>
      </c>
      <c r="M26" s="61">
        <f t="shared" si="12"/>
        <v>14090</v>
      </c>
      <c r="N26" s="61">
        <f t="shared" si="13"/>
        <v>15101.53</v>
      </c>
      <c r="O26" s="64">
        <f>2714.08+1638.66+3261.87+2029.96</f>
        <v>9644.57</v>
      </c>
      <c r="P26" s="62">
        <f t="shared" si="9"/>
        <v>1613.8999999999996</v>
      </c>
      <c r="Q26" s="63">
        <f t="shared" si="1"/>
        <v>0.91756071719641397</v>
      </c>
      <c r="R26" s="63">
        <f t="shared" si="2"/>
        <v>0.42710432473444609</v>
      </c>
      <c r="S26" s="63">
        <f t="shared" si="3"/>
        <v>0.42710432473444609</v>
      </c>
    </row>
    <row r="27" spans="1:250" ht="21.75" customHeight="1" x14ac:dyDescent="0.2">
      <c r="A27" s="58" t="s">
        <v>58</v>
      </c>
      <c r="B27" s="59" t="s">
        <v>59</v>
      </c>
      <c r="C27" s="66">
        <v>40400</v>
      </c>
      <c r="D27" s="60">
        <v>0</v>
      </c>
      <c r="E27" s="66">
        <f>SUM(C27+D27)</f>
        <v>40400</v>
      </c>
      <c r="F27" s="66">
        <f>500-25000</f>
        <v>-24500</v>
      </c>
      <c r="G27" s="127">
        <f t="shared" si="11"/>
        <v>15900</v>
      </c>
      <c r="H27" s="60">
        <f>SUM(5299+500+5939)</f>
        <v>11738</v>
      </c>
      <c r="I27" s="60">
        <v>0</v>
      </c>
      <c r="J27" s="66">
        <f>SUM(3214.4+1430+1418.74+1407.12+1436.44+1590.98)</f>
        <v>10497.679999999998</v>
      </c>
      <c r="K27" s="78">
        <f>4644.4+1418.74+1419.4+1424.16+1590.98</f>
        <v>10497.679999999998</v>
      </c>
      <c r="L27" s="61">
        <f t="shared" si="14"/>
        <v>1240.3200000000015</v>
      </c>
      <c r="M27" s="61">
        <f t="shared" si="12"/>
        <v>4162</v>
      </c>
      <c r="N27" s="61">
        <f t="shared" si="13"/>
        <v>5402.3200000000015</v>
      </c>
      <c r="O27" s="64">
        <f>3214.4+1430+2825.86+1436.44+1590.98</f>
        <v>10497.68</v>
      </c>
      <c r="P27" s="62">
        <f t="shared" si="9"/>
        <v>-1.8189894035458565E-12</v>
      </c>
      <c r="Q27" s="63">
        <f t="shared" si="1"/>
        <v>0.8943329357641846</v>
      </c>
      <c r="R27" s="63">
        <f t="shared" si="2"/>
        <v>0.6602314465408804</v>
      </c>
      <c r="S27" s="63">
        <f t="shared" si="3"/>
        <v>0.6602314465408804</v>
      </c>
    </row>
    <row r="28" spans="1:250" ht="21.75" customHeight="1" x14ac:dyDescent="0.2">
      <c r="A28" s="65" t="s">
        <v>60</v>
      </c>
      <c r="B28" s="59" t="s">
        <v>61</v>
      </c>
      <c r="C28" s="60">
        <v>29828</v>
      </c>
      <c r="D28" s="60">
        <v>0</v>
      </c>
      <c r="E28" s="66">
        <f>SUM(C28+D28)</f>
        <v>29828</v>
      </c>
      <c r="F28" s="66">
        <f>1000-6773</f>
        <v>-5773</v>
      </c>
      <c r="G28" s="127">
        <f t="shared" si="11"/>
        <v>24055</v>
      </c>
      <c r="H28" s="60">
        <f>SUM(1093+983+21979)</f>
        <v>24055</v>
      </c>
      <c r="I28" s="60">
        <v>0</v>
      </c>
      <c r="J28" s="60">
        <f>SUM(1075.2)</f>
        <v>1075.2</v>
      </c>
      <c r="K28" s="78">
        <v>1075.2</v>
      </c>
      <c r="L28" s="61">
        <f t="shared" si="14"/>
        <v>22979.8</v>
      </c>
      <c r="M28" s="61">
        <f t="shared" si="12"/>
        <v>0</v>
      </c>
      <c r="N28" s="61">
        <f t="shared" si="13"/>
        <v>22979.8</v>
      </c>
      <c r="O28" s="64">
        <f>448+179.2</f>
        <v>627.20000000000005</v>
      </c>
      <c r="P28" s="62">
        <f t="shared" si="9"/>
        <v>448</v>
      </c>
      <c r="Q28" s="63">
        <f t="shared" si="1"/>
        <v>4.4697568073165661E-2</v>
      </c>
      <c r="R28" s="63">
        <f t="shared" si="2"/>
        <v>4.4697568073165661E-2</v>
      </c>
      <c r="S28" s="63">
        <f t="shared" si="3"/>
        <v>4.4697568073165661E-2</v>
      </c>
    </row>
    <row r="29" spans="1:250" ht="21.75" customHeight="1" x14ac:dyDescent="0.2">
      <c r="A29" s="65">
        <v>117</v>
      </c>
      <c r="B29" s="59" t="s">
        <v>62</v>
      </c>
      <c r="C29" s="60">
        <v>12448</v>
      </c>
      <c r="D29" s="60">
        <v>0</v>
      </c>
      <c r="E29" s="66">
        <f>SUM(C29+D29)</f>
        <v>12448</v>
      </c>
      <c r="F29" s="66">
        <f>-2000-8714</f>
        <v>-10714</v>
      </c>
      <c r="G29" s="127">
        <f t="shared" si="11"/>
        <v>1734</v>
      </c>
      <c r="H29" s="60">
        <f>SUM(3734-2000)</f>
        <v>1734</v>
      </c>
      <c r="I29" s="60">
        <v>0</v>
      </c>
      <c r="J29" s="66">
        <v>1733.4</v>
      </c>
      <c r="K29" s="78">
        <f>(1733.4)</f>
        <v>1733.4</v>
      </c>
      <c r="L29" s="61">
        <f t="shared" si="14"/>
        <v>0.59999999999990905</v>
      </c>
      <c r="M29" s="61">
        <f t="shared" si="12"/>
        <v>0</v>
      </c>
      <c r="N29" s="61">
        <f t="shared" si="13"/>
        <v>0.59999999999990905</v>
      </c>
      <c r="O29" s="64">
        <f>722.25+144.45+144.45</f>
        <v>1011.1500000000001</v>
      </c>
      <c r="P29" s="62">
        <f t="shared" si="9"/>
        <v>722.25</v>
      </c>
      <c r="Q29" s="63">
        <f t="shared" si="1"/>
        <v>0.99965397923875443</v>
      </c>
      <c r="R29" s="63">
        <f t="shared" si="2"/>
        <v>0.99965397923875443</v>
      </c>
      <c r="S29" s="63">
        <f t="shared" si="3"/>
        <v>0.99965397923875443</v>
      </c>
    </row>
    <row r="30" spans="1:250" ht="21.75" customHeight="1" x14ac:dyDescent="0.2">
      <c r="A30" s="65" t="s">
        <v>63</v>
      </c>
      <c r="B30" s="68" t="s">
        <v>64</v>
      </c>
      <c r="C30" s="60">
        <v>42440</v>
      </c>
      <c r="D30" s="60">
        <v>0</v>
      </c>
      <c r="E30" s="60">
        <v>42440</v>
      </c>
      <c r="F30" s="66">
        <f>-1000-10000</f>
        <v>-11000</v>
      </c>
      <c r="G30" s="127">
        <f t="shared" si="11"/>
        <v>31440</v>
      </c>
      <c r="H30" s="60">
        <f>SUM(24000+440-1000+18000-10000)</f>
        <v>31440</v>
      </c>
      <c r="I30" s="60">
        <v>0</v>
      </c>
      <c r="J30" s="60">
        <v>0</v>
      </c>
      <c r="K30" s="78">
        <f>23440+6000-29440</f>
        <v>0</v>
      </c>
      <c r="L30" s="61">
        <f t="shared" si="14"/>
        <v>31440</v>
      </c>
      <c r="M30" s="61">
        <f t="shared" si="12"/>
        <v>0</v>
      </c>
      <c r="N30" s="61">
        <f t="shared" si="13"/>
        <v>31440</v>
      </c>
      <c r="O30" s="64">
        <v>0</v>
      </c>
      <c r="P30" s="62">
        <f t="shared" si="9"/>
        <v>0</v>
      </c>
      <c r="Q30" s="63">
        <f t="shared" si="1"/>
        <v>0</v>
      </c>
      <c r="R30" s="63">
        <f t="shared" si="2"/>
        <v>0</v>
      </c>
      <c r="S30" s="63">
        <f t="shared" si="3"/>
        <v>0</v>
      </c>
    </row>
    <row r="31" spans="1:250" ht="21.75" customHeight="1" x14ac:dyDescent="0.2">
      <c r="A31" s="65">
        <v>131</v>
      </c>
      <c r="B31" s="68" t="s">
        <v>65</v>
      </c>
      <c r="C31" s="60">
        <v>0</v>
      </c>
      <c r="D31" s="60">
        <v>0</v>
      </c>
      <c r="E31" s="60">
        <v>0</v>
      </c>
      <c r="F31" s="66">
        <v>2173</v>
      </c>
      <c r="G31" s="127">
        <f t="shared" si="11"/>
        <v>2173</v>
      </c>
      <c r="H31" s="60">
        <f>SUM(2173)</f>
        <v>2173</v>
      </c>
      <c r="I31" s="60">
        <v>0</v>
      </c>
      <c r="J31" s="60">
        <v>0</v>
      </c>
      <c r="K31" s="78">
        <v>0</v>
      </c>
      <c r="L31" s="61">
        <f t="shared" si="14"/>
        <v>2173</v>
      </c>
      <c r="M31" s="61">
        <f t="shared" si="12"/>
        <v>0</v>
      </c>
      <c r="N31" s="61">
        <f t="shared" si="13"/>
        <v>2173</v>
      </c>
      <c r="O31" s="64">
        <v>0</v>
      </c>
      <c r="P31" s="62">
        <f t="shared" si="9"/>
        <v>0</v>
      </c>
      <c r="Q31" s="63">
        <f t="shared" si="1"/>
        <v>0</v>
      </c>
      <c r="R31" s="63">
        <f t="shared" si="2"/>
        <v>0</v>
      </c>
      <c r="S31" s="63">
        <f t="shared" si="3"/>
        <v>0</v>
      </c>
    </row>
    <row r="32" spans="1:250" ht="21.75" customHeight="1" x14ac:dyDescent="0.2">
      <c r="A32" s="58" t="s">
        <v>66</v>
      </c>
      <c r="B32" s="59" t="s">
        <v>67</v>
      </c>
      <c r="C32" s="66">
        <v>20221</v>
      </c>
      <c r="D32" s="60">
        <v>0</v>
      </c>
      <c r="E32" s="66">
        <v>20221</v>
      </c>
      <c r="F32" s="66">
        <v>7000</v>
      </c>
      <c r="G32" s="127">
        <f t="shared" si="11"/>
        <v>27221</v>
      </c>
      <c r="H32" s="60">
        <f>SUM(7000+10100+10121)</f>
        <v>27221</v>
      </c>
      <c r="I32" s="60">
        <v>0</v>
      </c>
      <c r="J32" s="60">
        <v>3576.88</v>
      </c>
      <c r="K32" s="78">
        <f>17100-13523.12</f>
        <v>3576.8799999999992</v>
      </c>
      <c r="L32" s="61">
        <f t="shared" si="14"/>
        <v>23644.120000000003</v>
      </c>
      <c r="M32" s="61">
        <f t="shared" si="12"/>
        <v>0</v>
      </c>
      <c r="N32" s="61">
        <f t="shared" si="13"/>
        <v>23644.120000000003</v>
      </c>
      <c r="O32" s="60">
        <v>0</v>
      </c>
      <c r="P32" s="62">
        <f t="shared" si="9"/>
        <v>3576.8799999999992</v>
      </c>
      <c r="Q32" s="63">
        <f t="shared" si="1"/>
        <v>0.13140149149553651</v>
      </c>
      <c r="R32" s="63">
        <f t="shared" si="2"/>
        <v>0.13140149149553654</v>
      </c>
      <c r="S32" s="63">
        <f t="shared" si="3"/>
        <v>0.13140149149553651</v>
      </c>
    </row>
    <row r="33" spans="1:19" ht="21.75" customHeight="1" x14ac:dyDescent="0.2">
      <c r="A33" s="58">
        <v>141</v>
      </c>
      <c r="B33" s="59" t="s">
        <v>68</v>
      </c>
      <c r="C33" s="60">
        <v>0</v>
      </c>
      <c r="D33" s="60">
        <v>0</v>
      </c>
      <c r="E33" s="60">
        <v>0</v>
      </c>
      <c r="F33" s="66">
        <v>2450</v>
      </c>
      <c r="G33" s="127">
        <f t="shared" si="11"/>
        <v>2450</v>
      </c>
      <c r="H33" s="60">
        <f>SUM(2450)</f>
        <v>2450</v>
      </c>
      <c r="I33" s="60">
        <v>0</v>
      </c>
      <c r="J33" s="60">
        <f>1137+112+18</f>
        <v>1267</v>
      </c>
      <c r="K33" s="78">
        <f>1142-112+224+18</f>
        <v>1272</v>
      </c>
      <c r="L33" s="61">
        <f t="shared" si="14"/>
        <v>1178</v>
      </c>
      <c r="M33" s="61">
        <f t="shared" si="12"/>
        <v>0</v>
      </c>
      <c r="N33" s="61">
        <f t="shared" si="13"/>
        <v>1178</v>
      </c>
      <c r="O33" s="60">
        <f>468+582</f>
        <v>1050</v>
      </c>
      <c r="P33" s="62">
        <f t="shared" si="9"/>
        <v>222</v>
      </c>
      <c r="Q33" s="63">
        <f t="shared" si="1"/>
        <v>0.51918367346938776</v>
      </c>
      <c r="R33" s="63">
        <f t="shared" si="2"/>
        <v>0.51714285714285713</v>
      </c>
      <c r="S33" s="63">
        <f t="shared" si="3"/>
        <v>0.51918367346938776</v>
      </c>
    </row>
    <row r="34" spans="1:19" ht="21.75" customHeight="1" x14ac:dyDescent="0.2">
      <c r="A34" s="58" t="s">
        <v>69</v>
      </c>
      <c r="B34" s="59" t="s">
        <v>70</v>
      </c>
      <c r="C34" s="66">
        <v>31765</v>
      </c>
      <c r="D34" s="60">
        <v>0</v>
      </c>
      <c r="E34" s="66">
        <v>31765</v>
      </c>
      <c r="F34" s="66">
        <v>-11212</v>
      </c>
      <c r="G34" s="127">
        <f t="shared" si="11"/>
        <v>20553</v>
      </c>
      <c r="H34" s="60">
        <f>SUM(10000+11765-11212)</f>
        <v>10553</v>
      </c>
      <c r="I34" s="60">
        <v>0</v>
      </c>
      <c r="J34" s="60">
        <v>0</v>
      </c>
      <c r="K34" s="78">
        <f>2000-2000</f>
        <v>0</v>
      </c>
      <c r="L34" s="61">
        <f t="shared" si="14"/>
        <v>10553</v>
      </c>
      <c r="M34" s="61">
        <f t="shared" si="12"/>
        <v>10000</v>
      </c>
      <c r="N34" s="61">
        <f t="shared" si="13"/>
        <v>20553</v>
      </c>
      <c r="O34" s="64">
        <v>0</v>
      </c>
      <c r="P34" s="62">
        <f t="shared" si="9"/>
        <v>0</v>
      </c>
      <c r="Q34" s="63">
        <f t="shared" si="1"/>
        <v>0</v>
      </c>
      <c r="R34" s="63">
        <f t="shared" si="2"/>
        <v>0</v>
      </c>
      <c r="S34" s="63">
        <f t="shared" si="3"/>
        <v>0</v>
      </c>
    </row>
    <row r="35" spans="1:19" ht="21.75" customHeight="1" x14ac:dyDescent="0.2">
      <c r="A35" s="65" t="s">
        <v>71</v>
      </c>
      <c r="B35" s="59" t="s">
        <v>72</v>
      </c>
      <c r="C35" s="66">
        <v>13362</v>
      </c>
      <c r="D35" s="60">
        <v>0</v>
      </c>
      <c r="E35" s="66">
        <v>13362</v>
      </c>
      <c r="F35" s="66">
        <f>4000-4887</f>
        <v>-887</v>
      </c>
      <c r="G35" s="127">
        <f t="shared" si="11"/>
        <v>12475</v>
      </c>
      <c r="H35" s="60">
        <f>SUM(1000+7000-4887+5000)</f>
        <v>8113</v>
      </c>
      <c r="I35" s="60">
        <v>0</v>
      </c>
      <c r="J35" s="66">
        <f>492+60-50</f>
        <v>502</v>
      </c>
      <c r="K35" s="78">
        <f>549+60-50</f>
        <v>559</v>
      </c>
      <c r="L35" s="61">
        <f t="shared" si="14"/>
        <v>7554</v>
      </c>
      <c r="M35" s="61">
        <f t="shared" si="12"/>
        <v>4362</v>
      </c>
      <c r="N35" s="61">
        <f t="shared" si="13"/>
        <v>11916</v>
      </c>
      <c r="O35" s="64">
        <f>15+182</f>
        <v>197</v>
      </c>
      <c r="P35" s="62">
        <f t="shared" si="9"/>
        <v>362</v>
      </c>
      <c r="Q35" s="63">
        <f t="shared" si="1"/>
        <v>6.8901762603229388E-2</v>
      </c>
      <c r="R35" s="63">
        <f t="shared" si="2"/>
        <v>4.0240480961923848E-2</v>
      </c>
      <c r="S35" s="63">
        <f t="shared" si="3"/>
        <v>4.4809619238476955E-2</v>
      </c>
    </row>
    <row r="36" spans="1:19" ht="21.75" customHeight="1" x14ac:dyDescent="0.2">
      <c r="A36" s="65">
        <v>153</v>
      </c>
      <c r="B36" s="59" t="s">
        <v>73</v>
      </c>
      <c r="C36" s="60">
        <v>0</v>
      </c>
      <c r="D36" s="60">
        <v>0</v>
      </c>
      <c r="E36" s="60">
        <v>0</v>
      </c>
      <c r="F36" s="66">
        <f>3000-3000</f>
        <v>0</v>
      </c>
      <c r="G36" s="127">
        <f t="shared" si="11"/>
        <v>0</v>
      </c>
      <c r="H36" s="60">
        <f>SUM(3000-3000)</f>
        <v>0</v>
      </c>
      <c r="I36" s="60">
        <v>0</v>
      </c>
      <c r="J36" s="66">
        <v>0</v>
      </c>
      <c r="K36" s="78">
        <v>0</v>
      </c>
      <c r="L36" s="61">
        <f t="shared" si="14"/>
        <v>0</v>
      </c>
      <c r="M36" s="61">
        <f t="shared" si="12"/>
        <v>0</v>
      </c>
      <c r="N36" s="61">
        <f t="shared" si="13"/>
        <v>0</v>
      </c>
      <c r="O36" s="64">
        <v>0</v>
      </c>
      <c r="P36" s="62">
        <f t="shared" si="9"/>
        <v>0</v>
      </c>
      <c r="Q36" s="63">
        <v>0</v>
      </c>
      <c r="R36" s="63">
        <v>0</v>
      </c>
      <c r="S36" s="63">
        <v>0</v>
      </c>
    </row>
    <row r="37" spans="1:19" ht="21.75" customHeight="1" x14ac:dyDescent="0.2">
      <c r="A37" s="65">
        <v>154</v>
      </c>
      <c r="B37" s="59" t="s">
        <v>74</v>
      </c>
      <c r="C37" s="60">
        <v>0</v>
      </c>
      <c r="D37" s="60">
        <v>0</v>
      </c>
      <c r="E37" s="60">
        <v>0</v>
      </c>
      <c r="F37" s="66">
        <v>1000</v>
      </c>
      <c r="G37" s="127">
        <f t="shared" si="11"/>
        <v>1000</v>
      </c>
      <c r="H37" s="60">
        <f>SUM(1000)</f>
        <v>1000</v>
      </c>
      <c r="I37" s="60">
        <v>0</v>
      </c>
      <c r="J37" s="66">
        <f>170.66+12.85-13+0.15</f>
        <v>170.66</v>
      </c>
      <c r="K37" s="78">
        <v>175.66</v>
      </c>
      <c r="L37" s="61">
        <f t="shared" si="14"/>
        <v>824.34</v>
      </c>
      <c r="M37" s="61">
        <f t="shared" si="12"/>
        <v>0</v>
      </c>
      <c r="N37" s="61">
        <f t="shared" si="13"/>
        <v>824.34</v>
      </c>
      <c r="O37" s="64">
        <v>170.66</v>
      </c>
      <c r="P37" s="62">
        <f t="shared" si="9"/>
        <v>5</v>
      </c>
      <c r="Q37" s="63">
        <f t="shared" ref="Q37:Q68" si="15">SUM(K37/H37*100%)</f>
        <v>0.17565999999999998</v>
      </c>
      <c r="R37" s="63">
        <f t="shared" ref="R37:R68" si="16">SUM(J37/G37*100%)</f>
        <v>0.17066000000000001</v>
      </c>
      <c r="S37" s="63">
        <f t="shared" ref="S37:S68" si="17">SUM(K37/G37*100%)</f>
        <v>0.17565999999999998</v>
      </c>
    </row>
    <row r="38" spans="1:19" ht="21.75" customHeight="1" x14ac:dyDescent="0.2">
      <c r="A38" s="58" t="s">
        <v>75</v>
      </c>
      <c r="B38" s="59" t="s">
        <v>76</v>
      </c>
      <c r="C38" s="66">
        <v>8735</v>
      </c>
      <c r="D38" s="60">
        <v>0</v>
      </c>
      <c r="E38" s="66">
        <v>8735</v>
      </c>
      <c r="F38" s="66">
        <v>-1774</v>
      </c>
      <c r="G38" s="127">
        <f t="shared" si="11"/>
        <v>6961</v>
      </c>
      <c r="H38" s="60">
        <f>SUM(2621+605+2000)</f>
        <v>5226</v>
      </c>
      <c r="I38" s="60">
        <v>0</v>
      </c>
      <c r="J38" s="60">
        <f>379.75+1343.43</f>
        <v>1723.18</v>
      </c>
      <c r="K38" s="78">
        <f>1723.18</f>
        <v>1723.18</v>
      </c>
      <c r="L38" s="61">
        <f t="shared" si="14"/>
        <v>3502.8199999999997</v>
      </c>
      <c r="M38" s="61">
        <f t="shared" si="12"/>
        <v>1735</v>
      </c>
      <c r="N38" s="61">
        <f t="shared" si="13"/>
        <v>5237.82</v>
      </c>
      <c r="O38" s="64">
        <v>0</v>
      </c>
      <c r="P38" s="62">
        <f t="shared" si="9"/>
        <v>1723.18</v>
      </c>
      <c r="Q38" s="63">
        <f t="shared" si="15"/>
        <v>0.3297321086873326</v>
      </c>
      <c r="R38" s="63">
        <f t="shared" si="16"/>
        <v>0.24754776612555668</v>
      </c>
      <c r="S38" s="63">
        <f t="shared" si="17"/>
        <v>0.24754776612555668</v>
      </c>
    </row>
    <row r="39" spans="1:19" ht="21.75" customHeight="1" x14ac:dyDescent="0.2">
      <c r="A39" s="58">
        <v>165</v>
      </c>
      <c r="B39" s="59" t="s">
        <v>77</v>
      </c>
      <c r="C39" s="60">
        <v>0</v>
      </c>
      <c r="D39" s="60">
        <v>0</v>
      </c>
      <c r="E39" s="60">
        <v>0</v>
      </c>
      <c r="F39" s="66">
        <f>25965-9844+8000</f>
        <v>24121</v>
      </c>
      <c r="G39" s="127">
        <f t="shared" si="11"/>
        <v>24121</v>
      </c>
      <c r="H39" s="60">
        <f>SUM(20115+5850-9844+8000)</f>
        <v>24121</v>
      </c>
      <c r="I39" s="60">
        <v>0</v>
      </c>
      <c r="J39" s="66">
        <f>SUM(13060.53+2058.1+518.95+16.05+3750.72-15-0.25)</f>
        <v>19389.100000000002</v>
      </c>
      <c r="K39" s="132">
        <f>15118.63+518.95+433.35+3750.72-15</f>
        <v>19806.650000000001</v>
      </c>
      <c r="L39" s="61">
        <f t="shared" si="14"/>
        <v>4314.3499999999985</v>
      </c>
      <c r="M39" s="61">
        <f t="shared" si="12"/>
        <v>0</v>
      </c>
      <c r="N39" s="61">
        <f t="shared" si="13"/>
        <v>4314.3499999999985</v>
      </c>
      <c r="O39" s="64">
        <f>2431.46+1215.73+1107.45+1107.45+3700.55+1107.45</f>
        <v>10670.09</v>
      </c>
      <c r="P39" s="62">
        <f t="shared" si="9"/>
        <v>9136.5600000000013</v>
      </c>
      <c r="Q39" s="63">
        <f t="shared" si="15"/>
        <v>0.82113718336719044</v>
      </c>
      <c r="R39" s="63">
        <f t="shared" si="16"/>
        <v>0.80382654118817631</v>
      </c>
      <c r="S39" s="63">
        <f t="shared" si="17"/>
        <v>0.82113718336719044</v>
      </c>
    </row>
    <row r="40" spans="1:19" ht="21.75" customHeight="1" x14ac:dyDescent="0.2">
      <c r="A40" s="58" t="s">
        <v>78</v>
      </c>
      <c r="B40" s="59" t="s">
        <v>79</v>
      </c>
      <c r="C40" s="66">
        <v>6000</v>
      </c>
      <c r="D40" s="60">
        <v>0</v>
      </c>
      <c r="E40" s="66">
        <v>6000</v>
      </c>
      <c r="F40" s="66">
        <f>SUM(947+1920+9844+10200)</f>
        <v>22911</v>
      </c>
      <c r="G40" s="127">
        <f t="shared" si="11"/>
        <v>28911</v>
      </c>
      <c r="H40" s="60">
        <f>SUM(6947+1920+9844+10200)</f>
        <v>28911</v>
      </c>
      <c r="I40" s="60">
        <v>0</v>
      </c>
      <c r="J40" s="66">
        <f>SUM(5264.11+355.01+9330.4+92.3+529.27+10647.28-170)</f>
        <v>26048.370000000003</v>
      </c>
      <c r="K40" s="78">
        <f>5619.12+9330.4+165.34+529.27+10574.24-170</f>
        <v>26048.370000000003</v>
      </c>
      <c r="L40" s="61">
        <f t="shared" si="14"/>
        <v>2862.6299999999974</v>
      </c>
      <c r="M40" s="61">
        <f t="shared" si="12"/>
        <v>0</v>
      </c>
      <c r="N40" s="61">
        <f t="shared" si="13"/>
        <v>2862.6299999999974</v>
      </c>
      <c r="O40" s="64">
        <f>1582.23+118.54+1441.67</f>
        <v>3142.44</v>
      </c>
      <c r="P40" s="62">
        <f t="shared" si="9"/>
        <v>22905.930000000004</v>
      </c>
      <c r="Q40" s="63">
        <f t="shared" si="15"/>
        <v>0.90098474629033942</v>
      </c>
      <c r="R40" s="63">
        <f t="shared" si="16"/>
        <v>0.90098474629033942</v>
      </c>
      <c r="S40" s="63">
        <f t="shared" si="17"/>
        <v>0.90098474629033942</v>
      </c>
    </row>
    <row r="41" spans="1:19" ht="21.75" customHeight="1" x14ac:dyDescent="0.2">
      <c r="A41" s="58">
        <v>171</v>
      </c>
      <c r="B41" s="59" t="s">
        <v>80</v>
      </c>
      <c r="C41" s="60">
        <v>0</v>
      </c>
      <c r="D41" s="60">
        <v>0</v>
      </c>
      <c r="E41" s="60">
        <v>0</v>
      </c>
      <c r="F41" s="66">
        <v>15000</v>
      </c>
      <c r="G41" s="127">
        <f t="shared" si="11"/>
        <v>15000</v>
      </c>
      <c r="H41" s="60">
        <v>15000</v>
      </c>
      <c r="I41" s="60"/>
      <c r="J41" s="66"/>
      <c r="K41" s="78"/>
      <c r="L41" s="61">
        <f t="shared" si="14"/>
        <v>15000</v>
      </c>
      <c r="M41" s="61"/>
      <c r="N41" s="61">
        <f t="shared" si="13"/>
        <v>15000</v>
      </c>
      <c r="O41" s="64"/>
      <c r="P41" s="62">
        <f t="shared" si="9"/>
        <v>0</v>
      </c>
      <c r="Q41" s="63">
        <f t="shared" si="15"/>
        <v>0</v>
      </c>
      <c r="R41" s="63">
        <f t="shared" si="16"/>
        <v>0</v>
      </c>
      <c r="S41" s="63">
        <f t="shared" si="17"/>
        <v>0</v>
      </c>
    </row>
    <row r="42" spans="1:19" ht="21.75" customHeight="1" x14ac:dyDescent="0.2">
      <c r="A42" s="58" t="s">
        <v>81</v>
      </c>
      <c r="B42" s="59" t="s">
        <v>82</v>
      </c>
      <c r="C42" s="66">
        <v>36000</v>
      </c>
      <c r="D42" s="60">
        <v>0</v>
      </c>
      <c r="E42" s="66">
        <v>36000</v>
      </c>
      <c r="F42" s="66">
        <f>1015-500</f>
        <v>515</v>
      </c>
      <c r="G42" s="127">
        <f t="shared" si="11"/>
        <v>36515</v>
      </c>
      <c r="H42" s="60">
        <f>SUM(46800-10800+1015-500)</f>
        <v>36515</v>
      </c>
      <c r="I42" s="60">
        <v>0</v>
      </c>
      <c r="J42" s="66">
        <v>36000</v>
      </c>
      <c r="K42" s="78">
        <f>(36000)</f>
        <v>36000</v>
      </c>
      <c r="L42" s="61">
        <f t="shared" si="14"/>
        <v>515</v>
      </c>
      <c r="M42" s="61">
        <f t="shared" ref="M42:M50" si="18">SUM(G42-H42)</f>
        <v>0</v>
      </c>
      <c r="N42" s="61">
        <f t="shared" si="13"/>
        <v>515</v>
      </c>
      <c r="O42" s="64">
        <f>9000+6000+3000+3000</f>
        <v>21000</v>
      </c>
      <c r="P42" s="62">
        <f t="shared" si="9"/>
        <v>15000</v>
      </c>
      <c r="Q42" s="63">
        <f t="shared" si="15"/>
        <v>0.98589620703820346</v>
      </c>
      <c r="R42" s="63">
        <f t="shared" si="16"/>
        <v>0.98589620703820346</v>
      </c>
      <c r="S42" s="63">
        <f t="shared" si="17"/>
        <v>0.98589620703820346</v>
      </c>
    </row>
    <row r="43" spans="1:19" ht="21.75" customHeight="1" x14ac:dyDescent="0.2">
      <c r="A43" s="58" t="s">
        <v>83</v>
      </c>
      <c r="B43" s="59" t="s">
        <v>84</v>
      </c>
      <c r="C43" s="66">
        <v>3000</v>
      </c>
      <c r="D43" s="60">
        <v>0</v>
      </c>
      <c r="E43" s="66">
        <v>3000</v>
      </c>
      <c r="F43" s="66">
        <v>-1000</v>
      </c>
      <c r="G43" s="127">
        <f t="shared" si="11"/>
        <v>2000</v>
      </c>
      <c r="H43" s="60">
        <f>SUM(1500+500)</f>
        <v>2000</v>
      </c>
      <c r="I43" s="60">
        <v>0</v>
      </c>
      <c r="J43" s="64">
        <v>363.8</v>
      </c>
      <c r="K43" s="78">
        <v>363.8</v>
      </c>
      <c r="L43" s="61">
        <f t="shared" si="14"/>
        <v>1636.2</v>
      </c>
      <c r="M43" s="61">
        <f t="shared" si="18"/>
        <v>0</v>
      </c>
      <c r="N43" s="61">
        <f t="shared" si="13"/>
        <v>1636.2</v>
      </c>
      <c r="O43" s="64">
        <v>0</v>
      </c>
      <c r="P43" s="62">
        <f t="shared" si="9"/>
        <v>363.8</v>
      </c>
      <c r="Q43" s="63">
        <f t="shared" si="15"/>
        <v>0.18190000000000001</v>
      </c>
      <c r="R43" s="63">
        <f t="shared" si="16"/>
        <v>0.18190000000000001</v>
      </c>
      <c r="S43" s="63">
        <f t="shared" si="17"/>
        <v>0.18190000000000001</v>
      </c>
    </row>
    <row r="44" spans="1:19" ht="21.75" customHeight="1" x14ac:dyDescent="0.2">
      <c r="A44" s="65" t="s">
        <v>85</v>
      </c>
      <c r="B44" s="59" t="s">
        <v>86</v>
      </c>
      <c r="C44" s="60">
        <v>2631</v>
      </c>
      <c r="D44" s="60">
        <v>0</v>
      </c>
      <c r="E44" s="60">
        <v>2631</v>
      </c>
      <c r="F44" s="66">
        <f>-2000+4419-3000</f>
        <v>-581</v>
      </c>
      <c r="G44" s="127">
        <f t="shared" si="11"/>
        <v>2050</v>
      </c>
      <c r="H44" s="60">
        <f>SUM(2631-2000+4419-3000)</f>
        <v>2050</v>
      </c>
      <c r="I44" s="60">
        <v>0</v>
      </c>
      <c r="J44" s="64">
        <f>95.71+17.12+138.78</f>
        <v>251.61</v>
      </c>
      <c r="K44" s="78">
        <f>95.71+17.12+166.28</f>
        <v>279.11</v>
      </c>
      <c r="L44" s="61">
        <f t="shared" si="14"/>
        <v>1770.8899999999999</v>
      </c>
      <c r="M44" s="61">
        <f t="shared" si="18"/>
        <v>0</v>
      </c>
      <c r="N44" s="61">
        <f t="shared" si="13"/>
        <v>1770.8899999999999</v>
      </c>
      <c r="O44" s="64">
        <f>74.58+95.7</f>
        <v>170.28</v>
      </c>
      <c r="P44" s="62">
        <f t="shared" si="9"/>
        <v>108.83000000000001</v>
      </c>
      <c r="Q44" s="63">
        <f t="shared" si="15"/>
        <v>0.13615121951219514</v>
      </c>
      <c r="R44" s="63">
        <f t="shared" si="16"/>
        <v>0.12273658536585366</v>
      </c>
      <c r="S44" s="63">
        <f t="shared" si="17"/>
        <v>0.13615121951219514</v>
      </c>
    </row>
    <row r="45" spans="1:19" ht="21.75" customHeight="1" x14ac:dyDescent="0.2">
      <c r="A45" s="65">
        <v>185</v>
      </c>
      <c r="B45" s="59" t="s">
        <v>87</v>
      </c>
      <c r="C45" s="60">
        <v>0</v>
      </c>
      <c r="D45" s="60">
        <v>0</v>
      </c>
      <c r="E45" s="60">
        <v>0</v>
      </c>
      <c r="F45" s="66">
        <f>1945+36050</f>
        <v>37995</v>
      </c>
      <c r="G45" s="127">
        <f t="shared" si="11"/>
        <v>37995</v>
      </c>
      <c r="H45" s="60">
        <f>1945+36050</f>
        <v>37995</v>
      </c>
      <c r="I45" s="60">
        <v>0</v>
      </c>
      <c r="J45" s="64">
        <f>80.25+2178.66</f>
        <v>2258.91</v>
      </c>
      <c r="K45" s="78">
        <f>80.25+2178.66</f>
        <v>2258.91</v>
      </c>
      <c r="L45" s="61">
        <f t="shared" si="14"/>
        <v>35736.089999999997</v>
      </c>
      <c r="M45" s="61">
        <f t="shared" si="18"/>
        <v>0</v>
      </c>
      <c r="N45" s="61">
        <f t="shared" si="13"/>
        <v>35736.089999999997</v>
      </c>
      <c r="O45" s="64">
        <v>80.25</v>
      </c>
      <c r="P45" s="62">
        <f t="shared" si="9"/>
        <v>2178.66</v>
      </c>
      <c r="Q45" s="63">
        <f t="shared" si="15"/>
        <v>5.9452822739834182E-2</v>
      </c>
      <c r="R45" s="63">
        <f t="shared" si="16"/>
        <v>5.9452822739834182E-2</v>
      </c>
      <c r="S45" s="63">
        <f t="shared" si="17"/>
        <v>5.9452822739834182E-2</v>
      </c>
    </row>
    <row r="46" spans="1:19" ht="21.75" customHeight="1" x14ac:dyDescent="0.2">
      <c r="A46" s="65">
        <v>192</v>
      </c>
      <c r="B46" s="59" t="s">
        <v>88</v>
      </c>
      <c r="C46" s="60">
        <v>0</v>
      </c>
      <c r="D46" s="60">
        <v>0</v>
      </c>
      <c r="E46" s="60">
        <v>0</v>
      </c>
      <c r="F46" s="66">
        <f>2000-1000</f>
        <v>1000</v>
      </c>
      <c r="G46" s="127">
        <f t="shared" si="11"/>
        <v>1000</v>
      </c>
      <c r="H46" s="60">
        <f>SUM(2000-1000)</f>
        <v>1000</v>
      </c>
      <c r="I46" s="60">
        <v>0</v>
      </c>
      <c r="J46" s="64">
        <v>40.65</v>
      </c>
      <c r="K46" s="78">
        <v>40.65</v>
      </c>
      <c r="L46" s="61">
        <f t="shared" si="14"/>
        <v>959.35</v>
      </c>
      <c r="M46" s="61">
        <f t="shared" si="18"/>
        <v>0</v>
      </c>
      <c r="N46" s="61">
        <f t="shared" si="13"/>
        <v>959.35</v>
      </c>
      <c r="O46" s="64">
        <v>40.65</v>
      </c>
      <c r="P46" s="62">
        <f t="shared" si="9"/>
        <v>0</v>
      </c>
      <c r="Q46" s="63">
        <f t="shared" si="15"/>
        <v>4.0649999999999999E-2</v>
      </c>
      <c r="R46" s="63">
        <f t="shared" si="16"/>
        <v>4.0649999999999999E-2</v>
      </c>
      <c r="S46" s="63">
        <f t="shared" si="17"/>
        <v>4.0649999999999999E-2</v>
      </c>
    </row>
    <row r="47" spans="1:19" ht="21.75" customHeight="1" x14ac:dyDescent="0.2">
      <c r="A47" s="65">
        <v>195</v>
      </c>
      <c r="B47" s="59" t="s">
        <v>89</v>
      </c>
      <c r="C47" s="60">
        <v>0</v>
      </c>
      <c r="D47" s="60">
        <v>0</v>
      </c>
      <c r="E47" s="60">
        <v>0</v>
      </c>
      <c r="F47" s="66">
        <v>330</v>
      </c>
      <c r="G47" s="127">
        <f t="shared" si="11"/>
        <v>330</v>
      </c>
      <c r="H47" s="60">
        <v>330</v>
      </c>
      <c r="I47" s="60">
        <v>0</v>
      </c>
      <c r="J47" s="66">
        <v>317</v>
      </c>
      <c r="K47" s="132">
        <v>317</v>
      </c>
      <c r="L47" s="61">
        <f t="shared" si="14"/>
        <v>13</v>
      </c>
      <c r="M47" s="61">
        <f t="shared" si="18"/>
        <v>0</v>
      </c>
      <c r="N47" s="61">
        <f t="shared" si="13"/>
        <v>13</v>
      </c>
      <c r="O47" s="64">
        <v>317</v>
      </c>
      <c r="P47" s="62">
        <f t="shared" si="9"/>
        <v>0</v>
      </c>
      <c r="Q47" s="63">
        <f t="shared" si="15"/>
        <v>0.96060606060606057</v>
      </c>
      <c r="R47" s="63">
        <f t="shared" si="16"/>
        <v>0.96060606060606057</v>
      </c>
      <c r="S47" s="63">
        <f t="shared" si="17"/>
        <v>0.96060606060606057</v>
      </c>
    </row>
    <row r="48" spans="1:19" ht="21.75" customHeight="1" x14ac:dyDescent="0.2">
      <c r="A48" s="65">
        <v>196</v>
      </c>
      <c r="B48" s="59" t="s">
        <v>90</v>
      </c>
      <c r="C48" s="60">
        <v>0</v>
      </c>
      <c r="D48" s="60">
        <v>0</v>
      </c>
      <c r="E48" s="60">
        <v>0</v>
      </c>
      <c r="F48" s="66">
        <v>84</v>
      </c>
      <c r="G48" s="127">
        <f t="shared" si="11"/>
        <v>84</v>
      </c>
      <c r="H48" s="60">
        <v>84</v>
      </c>
      <c r="I48" s="60">
        <v>0</v>
      </c>
      <c r="J48" s="66">
        <f>69+15-15</f>
        <v>69</v>
      </c>
      <c r="K48" s="132">
        <f>69+15-15</f>
        <v>69</v>
      </c>
      <c r="L48" s="61">
        <f t="shared" si="14"/>
        <v>15</v>
      </c>
      <c r="M48" s="61">
        <f t="shared" si="18"/>
        <v>0</v>
      </c>
      <c r="N48" s="61">
        <f t="shared" si="13"/>
        <v>15</v>
      </c>
      <c r="O48" s="64">
        <v>69</v>
      </c>
      <c r="P48" s="62">
        <f t="shared" si="9"/>
        <v>0</v>
      </c>
      <c r="Q48" s="63">
        <f t="shared" si="15"/>
        <v>0.8214285714285714</v>
      </c>
      <c r="R48" s="63">
        <f t="shared" si="16"/>
        <v>0.8214285714285714</v>
      </c>
      <c r="S48" s="63">
        <f t="shared" si="17"/>
        <v>0.8214285714285714</v>
      </c>
    </row>
    <row r="49" spans="1:250" ht="22.5" customHeight="1" x14ac:dyDescent="0.2">
      <c r="A49" s="58">
        <v>197</v>
      </c>
      <c r="B49" s="59" t="s">
        <v>91</v>
      </c>
      <c r="C49" s="60">
        <v>0</v>
      </c>
      <c r="D49" s="60">
        <v>0</v>
      </c>
      <c r="E49" s="60">
        <v>0</v>
      </c>
      <c r="F49" s="66">
        <f>1615-700</f>
        <v>915</v>
      </c>
      <c r="G49" s="127">
        <f t="shared" si="11"/>
        <v>915</v>
      </c>
      <c r="H49" s="60">
        <f>SUM(800+15+800-700)</f>
        <v>915</v>
      </c>
      <c r="I49" s="60">
        <v>0</v>
      </c>
      <c r="J49" s="60">
        <f>SUM(1600-800+15-15)</f>
        <v>800</v>
      </c>
      <c r="K49" s="78">
        <f>1600-800+15-15</f>
        <v>800</v>
      </c>
      <c r="L49" s="61">
        <f t="shared" si="14"/>
        <v>115</v>
      </c>
      <c r="M49" s="61">
        <f t="shared" si="18"/>
        <v>0</v>
      </c>
      <c r="N49" s="61">
        <f t="shared" si="13"/>
        <v>115</v>
      </c>
      <c r="O49" s="60">
        <v>800</v>
      </c>
      <c r="P49" s="62">
        <f t="shared" si="9"/>
        <v>0</v>
      </c>
      <c r="Q49" s="63">
        <f t="shared" si="15"/>
        <v>0.87431693989071035</v>
      </c>
      <c r="R49" s="63">
        <f t="shared" si="16"/>
        <v>0.87431693989071035</v>
      </c>
      <c r="S49" s="63">
        <f t="shared" si="17"/>
        <v>0.87431693989071035</v>
      </c>
    </row>
    <row r="50" spans="1:250" ht="21.75" customHeight="1" thickBot="1" x14ac:dyDescent="0.25">
      <c r="A50" s="58">
        <v>199</v>
      </c>
      <c r="B50" s="59" t="s">
        <v>92</v>
      </c>
      <c r="C50" s="60">
        <v>0</v>
      </c>
      <c r="D50" s="60">
        <v>0</v>
      </c>
      <c r="E50" s="60">
        <v>0</v>
      </c>
      <c r="F50" s="66">
        <v>79</v>
      </c>
      <c r="G50" s="127">
        <f t="shared" si="11"/>
        <v>79</v>
      </c>
      <c r="H50" s="60">
        <v>79</v>
      </c>
      <c r="I50" s="60">
        <v>0</v>
      </c>
      <c r="J50" s="64">
        <f>78.75-78.75</f>
        <v>0</v>
      </c>
      <c r="K50" s="78">
        <f>78.75-78.75</f>
        <v>0</v>
      </c>
      <c r="L50" s="61">
        <f t="shared" si="14"/>
        <v>79</v>
      </c>
      <c r="M50" s="61">
        <f t="shared" si="18"/>
        <v>0</v>
      </c>
      <c r="N50" s="61">
        <f t="shared" si="13"/>
        <v>79</v>
      </c>
      <c r="O50" s="64">
        <v>0</v>
      </c>
      <c r="P50" s="62">
        <f t="shared" si="9"/>
        <v>0</v>
      </c>
      <c r="Q50" s="63">
        <f t="shared" si="15"/>
        <v>0</v>
      </c>
      <c r="R50" s="63">
        <f t="shared" si="16"/>
        <v>0</v>
      </c>
      <c r="S50" s="63">
        <f t="shared" si="17"/>
        <v>0</v>
      </c>
    </row>
    <row r="51" spans="1:250" s="48" customFormat="1" ht="34.5" customHeight="1" thickBot="1" x14ac:dyDescent="0.25">
      <c r="A51" s="69">
        <v>2</v>
      </c>
      <c r="B51" s="70" t="s">
        <v>93</v>
      </c>
      <c r="C51" s="71">
        <f>SUM(C53:C82)</f>
        <v>54867</v>
      </c>
      <c r="D51" s="71">
        <f>SUM(D53:D82)</f>
        <v>0</v>
      </c>
      <c r="E51" s="71">
        <f>SUM(E53:E82)</f>
        <v>54867</v>
      </c>
      <c r="F51" s="71">
        <f t="shared" ref="F51:P51" si="19">SUM(F52:F82)</f>
        <v>13261</v>
      </c>
      <c r="G51" s="71">
        <f>SUM(G52:G82)</f>
        <v>68128</v>
      </c>
      <c r="H51" s="71">
        <f t="shared" si="19"/>
        <v>66628</v>
      </c>
      <c r="I51" s="71">
        <f t="shared" si="19"/>
        <v>0</v>
      </c>
      <c r="J51" s="71">
        <f t="shared" si="19"/>
        <v>34372.279999999992</v>
      </c>
      <c r="K51" s="71">
        <f t="shared" si="19"/>
        <v>37642.31</v>
      </c>
      <c r="L51" s="71">
        <f t="shared" si="19"/>
        <v>28985.690000000006</v>
      </c>
      <c r="M51" s="71">
        <f t="shared" si="19"/>
        <v>1500</v>
      </c>
      <c r="N51" s="72">
        <f t="shared" si="19"/>
        <v>30485.690000000006</v>
      </c>
      <c r="O51" s="72">
        <f t="shared" si="19"/>
        <v>9919.1499999999978</v>
      </c>
      <c r="P51" s="72">
        <f t="shared" si="19"/>
        <v>27723.159999999996</v>
      </c>
      <c r="Q51" s="75">
        <f t="shared" si="15"/>
        <v>0.56496232815032721</v>
      </c>
      <c r="R51" s="79">
        <f t="shared" si="16"/>
        <v>0.504525011742602</v>
      </c>
      <c r="S51" s="79">
        <f t="shared" si="17"/>
        <v>0.55252333842179424</v>
      </c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  <c r="ER51" s="76"/>
      <c r="ES51" s="76"/>
      <c r="ET51" s="76"/>
      <c r="EU51" s="76"/>
      <c r="EV51" s="76"/>
      <c r="EW51" s="76"/>
      <c r="EX51" s="76"/>
      <c r="EY51" s="76"/>
      <c r="EZ51" s="76"/>
      <c r="FA51" s="76"/>
      <c r="FB51" s="76"/>
      <c r="FC51" s="76"/>
      <c r="FD51" s="76"/>
      <c r="FE51" s="76"/>
      <c r="FF51" s="76"/>
      <c r="FG51" s="76"/>
      <c r="FH51" s="76"/>
      <c r="FI51" s="76"/>
      <c r="FJ51" s="76"/>
      <c r="FK51" s="76"/>
      <c r="FL51" s="76"/>
      <c r="FM51" s="76"/>
      <c r="FN51" s="76"/>
      <c r="FO51" s="76"/>
      <c r="FP51" s="76"/>
      <c r="FQ51" s="76"/>
      <c r="FR51" s="76"/>
      <c r="FS51" s="76"/>
      <c r="FT51" s="76"/>
      <c r="FU51" s="76"/>
      <c r="FV51" s="76"/>
      <c r="FW51" s="76"/>
      <c r="FX51" s="76"/>
      <c r="FY51" s="76"/>
      <c r="FZ51" s="76"/>
      <c r="GA51" s="76"/>
      <c r="GB51" s="76"/>
      <c r="GC51" s="76"/>
      <c r="GD51" s="76"/>
      <c r="GE51" s="76"/>
      <c r="GF51" s="76"/>
      <c r="GG51" s="76"/>
      <c r="GH51" s="76"/>
      <c r="GI51" s="76"/>
      <c r="GJ51" s="76"/>
      <c r="GK51" s="76"/>
      <c r="GL51" s="76"/>
      <c r="GM51" s="76"/>
      <c r="GN51" s="76"/>
      <c r="GO51" s="76"/>
      <c r="GP51" s="76"/>
      <c r="GQ51" s="76"/>
      <c r="GR51" s="76"/>
      <c r="GS51" s="76"/>
      <c r="GT51" s="76"/>
      <c r="GU51" s="76"/>
      <c r="GV51" s="76"/>
      <c r="GW51" s="76"/>
      <c r="GX51" s="76"/>
      <c r="GY51" s="76"/>
      <c r="GZ51" s="76"/>
      <c r="HA51" s="76"/>
      <c r="HB51" s="76"/>
      <c r="HC51" s="76"/>
      <c r="HD51" s="76"/>
      <c r="HE51" s="76"/>
      <c r="HF51" s="76"/>
      <c r="HG51" s="76"/>
      <c r="HH51" s="76"/>
      <c r="HI51" s="76"/>
      <c r="HJ51" s="76"/>
      <c r="HK51" s="76"/>
      <c r="HL51" s="76"/>
      <c r="HM51" s="76"/>
      <c r="HN51" s="76"/>
      <c r="HO51" s="76"/>
      <c r="HP51" s="76"/>
      <c r="HQ51" s="76"/>
      <c r="HR51" s="76"/>
      <c r="HS51" s="76"/>
      <c r="HT51" s="76"/>
      <c r="HU51" s="76"/>
      <c r="HV51" s="76"/>
      <c r="HW51" s="76"/>
      <c r="HX51" s="76"/>
      <c r="HY51" s="76"/>
      <c r="HZ51" s="76"/>
      <c r="IA51" s="76"/>
      <c r="IB51" s="76"/>
      <c r="IC51" s="76"/>
      <c r="ID51" s="76"/>
      <c r="IE51" s="76"/>
      <c r="IF51" s="76"/>
      <c r="IG51" s="76"/>
      <c r="IH51" s="76"/>
      <c r="II51" s="76"/>
      <c r="IJ51" s="76"/>
      <c r="IK51" s="76"/>
      <c r="IL51" s="76"/>
      <c r="IM51" s="76"/>
      <c r="IN51" s="76"/>
      <c r="IO51" s="76"/>
      <c r="IP51" s="76"/>
    </row>
    <row r="52" spans="1:250" s="48" customFormat="1" ht="34.5" customHeight="1" x14ac:dyDescent="0.2">
      <c r="A52" s="65">
        <v>201</v>
      </c>
      <c r="B52" s="59" t="s">
        <v>94</v>
      </c>
      <c r="C52" s="60">
        <v>0</v>
      </c>
      <c r="D52" s="60">
        <v>0</v>
      </c>
      <c r="E52" s="60">
        <v>0</v>
      </c>
      <c r="F52" s="80">
        <v>1000</v>
      </c>
      <c r="G52" s="127">
        <f t="shared" ref="G52:G82" si="20">SUM(E52+F52)</f>
        <v>1000</v>
      </c>
      <c r="H52" s="80">
        <v>1000</v>
      </c>
      <c r="I52" s="80"/>
      <c r="J52" s="80">
        <f>174-120</f>
        <v>54</v>
      </c>
      <c r="K52" s="80">
        <f>174-120</f>
        <v>54</v>
      </c>
      <c r="L52" s="61">
        <f t="shared" ref="L52:L82" si="21">SUM(H52-K52)</f>
        <v>946</v>
      </c>
      <c r="M52" s="80"/>
      <c r="N52" s="61">
        <f t="shared" ref="N52:N82" si="22">SUM(-I52+L52+M52)</f>
        <v>946</v>
      </c>
      <c r="O52" s="80"/>
      <c r="P52" s="62">
        <f t="shared" ref="P52:P82" si="23">SUM(K52-O52)</f>
        <v>54</v>
      </c>
      <c r="Q52" s="63">
        <f t="shared" si="15"/>
        <v>5.3999999999999999E-2</v>
      </c>
      <c r="R52" s="63">
        <f t="shared" si="16"/>
        <v>5.3999999999999999E-2</v>
      </c>
      <c r="S52" s="63">
        <f t="shared" si="17"/>
        <v>5.3999999999999999E-2</v>
      </c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  <c r="IO52" s="76"/>
      <c r="IP52" s="76"/>
    </row>
    <row r="53" spans="1:250" ht="22.5" customHeight="1" x14ac:dyDescent="0.2">
      <c r="A53" s="65" t="s">
        <v>95</v>
      </c>
      <c r="B53" s="59" t="s">
        <v>96</v>
      </c>
      <c r="C53" s="66">
        <v>732</v>
      </c>
      <c r="D53" s="60">
        <v>0</v>
      </c>
      <c r="E53" s="66">
        <v>732</v>
      </c>
      <c r="F53" s="66">
        <f>2461-1800</f>
        <v>661</v>
      </c>
      <c r="G53" s="127">
        <f t="shared" si="20"/>
        <v>1393</v>
      </c>
      <c r="H53" s="60">
        <f>SUM(732-39+2500-1800)</f>
        <v>1393</v>
      </c>
      <c r="I53" s="60">
        <v>0</v>
      </c>
      <c r="J53" s="66">
        <f>SUM(693+630)</f>
        <v>1323</v>
      </c>
      <c r="K53" s="78">
        <f>(693+630)</f>
        <v>1323</v>
      </c>
      <c r="L53" s="61">
        <f t="shared" si="21"/>
        <v>70</v>
      </c>
      <c r="M53" s="61">
        <f>SUM(G53-H53)</f>
        <v>0</v>
      </c>
      <c r="N53" s="61">
        <f t="shared" si="22"/>
        <v>70</v>
      </c>
      <c r="O53" s="64">
        <v>0</v>
      </c>
      <c r="P53" s="62">
        <f t="shared" si="23"/>
        <v>1323</v>
      </c>
      <c r="Q53" s="63">
        <f t="shared" si="15"/>
        <v>0.94974874371859297</v>
      </c>
      <c r="R53" s="63">
        <f t="shared" si="16"/>
        <v>0.94974874371859297</v>
      </c>
      <c r="S53" s="63">
        <f t="shared" si="17"/>
        <v>0.94974874371859297</v>
      </c>
    </row>
    <row r="54" spans="1:250" ht="22.5" customHeight="1" x14ac:dyDescent="0.2">
      <c r="A54" s="65">
        <v>211</v>
      </c>
      <c r="B54" s="59" t="s">
        <v>97</v>
      </c>
      <c r="C54" s="60">
        <v>0</v>
      </c>
      <c r="D54" s="60">
        <v>0</v>
      </c>
      <c r="E54" s="60">
        <v>0</v>
      </c>
      <c r="F54" s="66">
        <f>39+2000</f>
        <v>2039</v>
      </c>
      <c r="G54" s="127">
        <f t="shared" si="20"/>
        <v>2039</v>
      </c>
      <c r="H54" s="60">
        <f>39+2000</f>
        <v>2039</v>
      </c>
      <c r="I54" s="60">
        <v>0</v>
      </c>
      <c r="J54" s="64">
        <v>0</v>
      </c>
      <c r="K54" s="78">
        <v>0</v>
      </c>
      <c r="L54" s="61">
        <f t="shared" si="21"/>
        <v>2039</v>
      </c>
      <c r="M54" s="61">
        <f>SUM(G54-H54)</f>
        <v>0</v>
      </c>
      <c r="N54" s="61">
        <f t="shared" si="22"/>
        <v>2039</v>
      </c>
      <c r="O54" s="64">
        <v>0</v>
      </c>
      <c r="P54" s="62">
        <f t="shared" si="23"/>
        <v>0</v>
      </c>
      <c r="Q54" s="63">
        <f t="shared" si="15"/>
        <v>0</v>
      </c>
      <c r="R54" s="63">
        <f t="shared" si="16"/>
        <v>0</v>
      </c>
      <c r="S54" s="63">
        <f t="shared" si="17"/>
        <v>0</v>
      </c>
    </row>
    <row r="55" spans="1:250" ht="22.5" customHeight="1" x14ac:dyDescent="0.2">
      <c r="A55" s="65">
        <v>212</v>
      </c>
      <c r="B55" s="59" t="s">
        <v>98</v>
      </c>
      <c r="C55" s="60">
        <v>0</v>
      </c>
      <c r="D55" s="60">
        <v>0</v>
      </c>
      <c r="E55" s="60">
        <v>0</v>
      </c>
      <c r="F55" s="66">
        <v>55</v>
      </c>
      <c r="G55" s="127">
        <f t="shared" si="20"/>
        <v>55</v>
      </c>
      <c r="H55" s="60">
        <v>55</v>
      </c>
      <c r="I55" s="60">
        <v>0</v>
      </c>
      <c r="J55" s="64">
        <v>0</v>
      </c>
      <c r="K55" s="78">
        <v>0</v>
      </c>
      <c r="L55" s="61">
        <f t="shared" si="21"/>
        <v>55</v>
      </c>
      <c r="M55" s="61">
        <f>SUM(G55-H55)</f>
        <v>0</v>
      </c>
      <c r="N55" s="61">
        <f t="shared" si="22"/>
        <v>55</v>
      </c>
      <c r="O55" s="64">
        <v>0</v>
      </c>
      <c r="P55" s="62">
        <f t="shared" si="23"/>
        <v>0</v>
      </c>
      <c r="Q55" s="63">
        <f t="shared" si="15"/>
        <v>0</v>
      </c>
      <c r="R55" s="63">
        <f t="shared" si="16"/>
        <v>0</v>
      </c>
      <c r="S55" s="63">
        <f t="shared" si="17"/>
        <v>0</v>
      </c>
    </row>
    <row r="56" spans="1:250" ht="22.5" customHeight="1" x14ac:dyDescent="0.2">
      <c r="A56" s="65">
        <v>214</v>
      </c>
      <c r="B56" s="59" t="s">
        <v>99</v>
      </c>
      <c r="C56" s="60">
        <v>0</v>
      </c>
      <c r="D56" s="60">
        <v>0</v>
      </c>
      <c r="E56" s="60">
        <v>0</v>
      </c>
      <c r="F56" s="60">
        <v>1000</v>
      </c>
      <c r="G56" s="127">
        <f t="shared" si="20"/>
        <v>1000</v>
      </c>
      <c r="H56" s="60">
        <v>1000</v>
      </c>
      <c r="I56" s="60">
        <v>0</v>
      </c>
      <c r="J56" s="60">
        <v>857.26</v>
      </c>
      <c r="K56" s="60">
        <v>857.26</v>
      </c>
      <c r="L56" s="61">
        <f t="shared" si="21"/>
        <v>142.74</v>
      </c>
      <c r="M56" s="60">
        <v>0</v>
      </c>
      <c r="N56" s="61">
        <f t="shared" si="22"/>
        <v>142.74</v>
      </c>
      <c r="O56" s="60">
        <v>0</v>
      </c>
      <c r="P56" s="62">
        <f t="shared" si="23"/>
        <v>857.26</v>
      </c>
      <c r="Q56" s="63">
        <f t="shared" si="15"/>
        <v>0.85726000000000002</v>
      </c>
      <c r="R56" s="63">
        <f t="shared" si="16"/>
        <v>0.85726000000000002</v>
      </c>
      <c r="S56" s="63">
        <f t="shared" si="17"/>
        <v>0.85726000000000002</v>
      </c>
    </row>
    <row r="57" spans="1:250" ht="22.5" customHeight="1" x14ac:dyDescent="0.2">
      <c r="A57" s="65" t="s">
        <v>100</v>
      </c>
      <c r="B57" s="59" t="s">
        <v>101</v>
      </c>
      <c r="C57" s="66">
        <v>10000</v>
      </c>
      <c r="D57" s="60">
        <v>0</v>
      </c>
      <c r="E57" s="66">
        <v>10000</v>
      </c>
      <c r="F57" s="66">
        <f>SUM(-4802-2698)</f>
        <v>-7500</v>
      </c>
      <c r="G57" s="127">
        <f t="shared" si="20"/>
        <v>2500</v>
      </c>
      <c r="H57" s="60">
        <f>SUM(5198-2698)</f>
        <v>2500</v>
      </c>
      <c r="I57" s="60">
        <v>0</v>
      </c>
      <c r="J57" s="66">
        <f>SUM(2500)</f>
        <v>2500</v>
      </c>
      <c r="K57" s="78">
        <f>(3000-500)</f>
        <v>2500</v>
      </c>
      <c r="L57" s="61">
        <f t="shared" si="21"/>
        <v>0</v>
      </c>
      <c r="M57" s="61">
        <f t="shared" ref="M57:M65" si="24">SUM(G57-H57)</f>
        <v>0</v>
      </c>
      <c r="N57" s="61">
        <f t="shared" si="22"/>
        <v>0</v>
      </c>
      <c r="O57" s="64">
        <f>1231.33+325.38+421.39+0.3</f>
        <v>1978.3999999999999</v>
      </c>
      <c r="P57" s="62">
        <f t="shared" si="23"/>
        <v>521.60000000000014</v>
      </c>
      <c r="Q57" s="63">
        <f t="shared" si="15"/>
        <v>1</v>
      </c>
      <c r="R57" s="63">
        <f t="shared" si="16"/>
        <v>1</v>
      </c>
      <c r="S57" s="63">
        <f t="shared" si="17"/>
        <v>1</v>
      </c>
    </row>
    <row r="58" spans="1:250" ht="22.5" customHeight="1" x14ac:dyDescent="0.2">
      <c r="A58" s="65" t="s">
        <v>102</v>
      </c>
      <c r="B58" s="59" t="s">
        <v>103</v>
      </c>
      <c r="C58" s="66">
        <v>12120</v>
      </c>
      <c r="D58" s="60">
        <v>0</v>
      </c>
      <c r="E58" s="66">
        <v>12120</v>
      </c>
      <c r="F58" s="66">
        <f>-9620+2000</f>
        <v>-7620</v>
      </c>
      <c r="G58" s="127">
        <f t="shared" si="20"/>
        <v>4500</v>
      </c>
      <c r="H58" s="60">
        <f>SUM(12120-9620+2000)</f>
        <v>4500</v>
      </c>
      <c r="I58" s="60">
        <v>0</v>
      </c>
      <c r="J58" s="66">
        <f>SUM(2500)</f>
        <v>2500</v>
      </c>
      <c r="K58" s="78">
        <f>(3000-500)</f>
        <v>2500</v>
      </c>
      <c r="L58" s="61">
        <f t="shared" si="21"/>
        <v>2000</v>
      </c>
      <c r="M58" s="61">
        <f t="shared" si="24"/>
        <v>0</v>
      </c>
      <c r="N58" s="61">
        <f t="shared" si="22"/>
        <v>2000</v>
      </c>
      <c r="O58" s="64">
        <f>702.69+160.56+168.76</f>
        <v>1032.01</v>
      </c>
      <c r="P58" s="62">
        <f t="shared" si="23"/>
        <v>1467.99</v>
      </c>
      <c r="Q58" s="63">
        <f t="shared" si="15"/>
        <v>0.55555555555555558</v>
      </c>
      <c r="R58" s="63">
        <f t="shared" si="16"/>
        <v>0.55555555555555558</v>
      </c>
      <c r="S58" s="63">
        <f t="shared" si="17"/>
        <v>0.55555555555555558</v>
      </c>
    </row>
    <row r="59" spans="1:250" ht="22.5" customHeight="1" x14ac:dyDescent="0.2">
      <c r="A59" s="58" t="s">
        <v>104</v>
      </c>
      <c r="B59" s="59" t="s">
        <v>105</v>
      </c>
      <c r="C59" s="66">
        <v>2117</v>
      </c>
      <c r="D59" s="60">
        <v>0</v>
      </c>
      <c r="E59" s="66">
        <v>2117</v>
      </c>
      <c r="F59" s="66">
        <v>-1500</v>
      </c>
      <c r="G59" s="127">
        <f t="shared" si="20"/>
        <v>617</v>
      </c>
      <c r="H59" s="60">
        <f>SUM(2117-1500)</f>
        <v>617</v>
      </c>
      <c r="I59" s="60">
        <v>0</v>
      </c>
      <c r="J59" s="66">
        <f>SUM(47.72+49.22+40.66)</f>
        <v>137.6</v>
      </c>
      <c r="K59" s="78">
        <f>47.72+49.22+40.66</f>
        <v>137.6</v>
      </c>
      <c r="L59" s="61">
        <f t="shared" si="21"/>
        <v>479.4</v>
      </c>
      <c r="M59" s="61">
        <f t="shared" si="24"/>
        <v>0</v>
      </c>
      <c r="N59" s="61">
        <f t="shared" si="22"/>
        <v>479.4</v>
      </c>
      <c r="O59" s="64">
        <f>47.71</f>
        <v>47.71</v>
      </c>
      <c r="P59" s="62">
        <f t="shared" si="23"/>
        <v>89.889999999999986</v>
      </c>
      <c r="Q59" s="63">
        <f t="shared" si="15"/>
        <v>0.22301458670988653</v>
      </c>
      <c r="R59" s="63">
        <f t="shared" si="16"/>
        <v>0.22301458670988653</v>
      </c>
      <c r="S59" s="63">
        <f t="shared" si="17"/>
        <v>0.22301458670988653</v>
      </c>
    </row>
    <row r="60" spans="1:250" ht="22.5" customHeight="1" x14ac:dyDescent="0.2">
      <c r="A60" s="58">
        <v>231</v>
      </c>
      <c r="B60" s="59" t="s">
        <v>106</v>
      </c>
      <c r="C60" s="60">
        <v>0</v>
      </c>
      <c r="D60" s="60">
        <v>0</v>
      </c>
      <c r="E60" s="60">
        <v>0</v>
      </c>
      <c r="F60" s="66">
        <f>3000-1000</f>
        <v>2000</v>
      </c>
      <c r="G60" s="127">
        <f t="shared" si="20"/>
        <v>2000</v>
      </c>
      <c r="H60" s="60">
        <f>SUM(3000-1000)</f>
        <v>2000</v>
      </c>
      <c r="I60" s="60">
        <v>0</v>
      </c>
      <c r="J60" s="64">
        <v>722.79</v>
      </c>
      <c r="K60" s="78">
        <f>1722.79-1000</f>
        <v>722.79</v>
      </c>
      <c r="L60" s="61">
        <f t="shared" si="21"/>
        <v>1277.21</v>
      </c>
      <c r="M60" s="61">
        <f t="shared" si="24"/>
        <v>0</v>
      </c>
      <c r="N60" s="61">
        <f t="shared" si="22"/>
        <v>1277.21</v>
      </c>
      <c r="O60" s="64">
        <v>0</v>
      </c>
      <c r="P60" s="62">
        <f t="shared" si="23"/>
        <v>722.79</v>
      </c>
      <c r="Q60" s="63">
        <f t="shared" si="15"/>
        <v>0.36139499999999997</v>
      </c>
      <c r="R60" s="63">
        <f t="shared" si="16"/>
        <v>0.36139499999999997</v>
      </c>
      <c r="S60" s="63">
        <f t="shared" si="17"/>
        <v>0.36139499999999997</v>
      </c>
    </row>
    <row r="61" spans="1:250" ht="22.5" customHeight="1" x14ac:dyDescent="0.2">
      <c r="A61" s="58" t="s">
        <v>107</v>
      </c>
      <c r="B61" s="59" t="s">
        <v>108</v>
      </c>
      <c r="C61" s="66">
        <v>5263</v>
      </c>
      <c r="D61" s="60">
        <v>0</v>
      </c>
      <c r="E61" s="66">
        <v>5263</v>
      </c>
      <c r="F61" s="66">
        <f>3000-2000+1000-2000</f>
        <v>0</v>
      </c>
      <c r="G61" s="127">
        <f t="shared" si="20"/>
        <v>5263</v>
      </c>
      <c r="H61" s="60">
        <f>SUM(5000-1000+1263)</f>
        <v>5263</v>
      </c>
      <c r="I61" s="60">
        <v>0</v>
      </c>
      <c r="J61" s="66">
        <f>SUM(326.46+1259.18+139.09+219.87)</f>
        <v>1944.6</v>
      </c>
      <c r="K61" s="78">
        <f>326.46+1259.18+139.09+219.87</f>
        <v>1944.6</v>
      </c>
      <c r="L61" s="61">
        <f t="shared" si="21"/>
        <v>3318.4</v>
      </c>
      <c r="M61" s="61">
        <f t="shared" si="24"/>
        <v>0</v>
      </c>
      <c r="N61" s="61">
        <f t="shared" si="22"/>
        <v>3318.4</v>
      </c>
      <c r="O61" s="64">
        <f>522.8+494.66</f>
        <v>1017.46</v>
      </c>
      <c r="P61" s="62">
        <f t="shared" si="23"/>
        <v>927.13999999999987</v>
      </c>
      <c r="Q61" s="63">
        <f t="shared" si="15"/>
        <v>0.36948508455253654</v>
      </c>
      <c r="R61" s="63">
        <f t="shared" si="16"/>
        <v>0.36948508455253654</v>
      </c>
      <c r="S61" s="63">
        <f t="shared" si="17"/>
        <v>0.36948508455253654</v>
      </c>
    </row>
    <row r="62" spans="1:250" ht="22.5" customHeight="1" x14ac:dyDescent="0.2">
      <c r="A62" s="58">
        <v>239</v>
      </c>
      <c r="B62" s="59" t="s">
        <v>109</v>
      </c>
      <c r="C62" s="60">
        <v>0</v>
      </c>
      <c r="D62" s="60">
        <v>0</v>
      </c>
      <c r="E62" s="60">
        <v>0</v>
      </c>
      <c r="F62" s="66">
        <f>3187-1000-1000</f>
        <v>1187</v>
      </c>
      <c r="G62" s="127">
        <f t="shared" si="20"/>
        <v>1187</v>
      </c>
      <c r="H62" s="60">
        <f>SUM(187+3000-1000-1000)</f>
        <v>1187</v>
      </c>
      <c r="I62" s="60">
        <v>0</v>
      </c>
      <c r="J62" s="66">
        <f>SUM(186.18)</f>
        <v>186.18</v>
      </c>
      <c r="K62" s="78">
        <v>186.18</v>
      </c>
      <c r="L62" s="61">
        <f t="shared" si="21"/>
        <v>1000.8199999999999</v>
      </c>
      <c r="M62" s="61">
        <f t="shared" si="24"/>
        <v>0</v>
      </c>
      <c r="N62" s="61">
        <f t="shared" si="22"/>
        <v>1000.8199999999999</v>
      </c>
      <c r="O62" s="64">
        <v>186.18</v>
      </c>
      <c r="P62" s="62">
        <f t="shared" si="23"/>
        <v>0</v>
      </c>
      <c r="Q62" s="63">
        <f t="shared" si="15"/>
        <v>0.15684919966301603</v>
      </c>
      <c r="R62" s="63">
        <f t="shared" si="16"/>
        <v>0.15684919966301603</v>
      </c>
      <c r="S62" s="63">
        <f t="shared" si="17"/>
        <v>0.15684919966301603</v>
      </c>
    </row>
    <row r="63" spans="1:250" ht="22.5" customHeight="1" x14ac:dyDescent="0.2">
      <c r="A63" s="58">
        <v>242</v>
      </c>
      <c r="B63" s="59" t="s">
        <v>110</v>
      </c>
      <c r="C63" s="60">
        <v>0</v>
      </c>
      <c r="D63" s="60">
        <v>0</v>
      </c>
      <c r="E63" s="60">
        <v>0</v>
      </c>
      <c r="F63" s="66">
        <f>260+100+1500</f>
        <v>1860</v>
      </c>
      <c r="G63" s="127">
        <f t="shared" si="20"/>
        <v>1860</v>
      </c>
      <c r="H63" s="60">
        <f>260+100+1500</f>
        <v>1860</v>
      </c>
      <c r="I63" s="60">
        <v>0</v>
      </c>
      <c r="J63" s="66">
        <f>259.54+428</f>
        <v>687.54</v>
      </c>
      <c r="K63" s="78">
        <f>259.54+428</f>
        <v>687.54</v>
      </c>
      <c r="L63" s="61">
        <f t="shared" si="21"/>
        <v>1172.46</v>
      </c>
      <c r="M63" s="61">
        <f t="shared" si="24"/>
        <v>0</v>
      </c>
      <c r="N63" s="61">
        <f t="shared" si="22"/>
        <v>1172.46</v>
      </c>
      <c r="O63" s="60">
        <v>259.54000000000002</v>
      </c>
      <c r="P63" s="62">
        <f t="shared" si="23"/>
        <v>427.99999999999994</v>
      </c>
      <c r="Q63" s="63">
        <f t="shared" si="15"/>
        <v>0.36964516129032254</v>
      </c>
      <c r="R63" s="63">
        <f t="shared" si="16"/>
        <v>0.36964516129032254</v>
      </c>
      <c r="S63" s="63">
        <f t="shared" si="17"/>
        <v>0.36964516129032254</v>
      </c>
    </row>
    <row r="64" spans="1:250" ht="22.5" customHeight="1" x14ac:dyDescent="0.2">
      <c r="A64" s="58" t="s">
        <v>111</v>
      </c>
      <c r="B64" s="59" t="s">
        <v>112</v>
      </c>
      <c r="C64" s="66">
        <v>2097</v>
      </c>
      <c r="D64" s="60">
        <v>0</v>
      </c>
      <c r="E64" s="66">
        <v>2097</v>
      </c>
      <c r="F64" s="66">
        <v>35</v>
      </c>
      <c r="G64" s="127">
        <f t="shared" si="20"/>
        <v>2132</v>
      </c>
      <c r="H64" s="60">
        <f>SUM(132+2000)</f>
        <v>2132</v>
      </c>
      <c r="I64" s="60">
        <v>0</v>
      </c>
      <c r="J64" s="60">
        <f>SUM(130+1325.73)</f>
        <v>1455.73</v>
      </c>
      <c r="K64" s="78">
        <f>130+1325.73</f>
        <v>1455.73</v>
      </c>
      <c r="L64" s="61">
        <f t="shared" si="21"/>
        <v>676.27</v>
      </c>
      <c r="M64" s="61">
        <f t="shared" si="24"/>
        <v>0</v>
      </c>
      <c r="N64" s="61">
        <f t="shared" si="22"/>
        <v>676.27</v>
      </c>
      <c r="O64" s="64">
        <v>130</v>
      </c>
      <c r="P64" s="62">
        <f t="shared" si="23"/>
        <v>1325.73</v>
      </c>
      <c r="Q64" s="63">
        <f t="shared" si="15"/>
        <v>0.6828001876172608</v>
      </c>
      <c r="R64" s="63">
        <f t="shared" si="16"/>
        <v>0.6828001876172608</v>
      </c>
      <c r="S64" s="63">
        <f t="shared" si="17"/>
        <v>0.6828001876172608</v>
      </c>
    </row>
    <row r="65" spans="1:19" ht="22.5" customHeight="1" x14ac:dyDescent="0.2">
      <c r="A65" s="65" t="s">
        <v>113</v>
      </c>
      <c r="B65" s="59" t="s">
        <v>114</v>
      </c>
      <c r="C65" s="60">
        <v>0</v>
      </c>
      <c r="D65" s="60">
        <v>0</v>
      </c>
      <c r="E65" s="60">
        <v>0</v>
      </c>
      <c r="F65" s="66">
        <f>798+1570+1500</f>
        <v>3868</v>
      </c>
      <c r="G65" s="127">
        <f t="shared" si="20"/>
        <v>3868</v>
      </c>
      <c r="H65" s="60">
        <f>SUM(766+32+1570+1500)</f>
        <v>3868</v>
      </c>
      <c r="I65" s="60">
        <v>0</v>
      </c>
      <c r="J65" s="66">
        <f>SUM(765.8+31.95+1164.25-1104.65+935.05)</f>
        <v>1792.3999999999999</v>
      </c>
      <c r="K65" s="78">
        <f>797.75+1164.25+59.6+935.05</f>
        <v>2956.6499999999996</v>
      </c>
      <c r="L65" s="61">
        <f t="shared" si="21"/>
        <v>911.35000000000036</v>
      </c>
      <c r="M65" s="61">
        <f t="shared" si="24"/>
        <v>0</v>
      </c>
      <c r="N65" s="61">
        <f t="shared" si="22"/>
        <v>911.35000000000036</v>
      </c>
      <c r="O65" s="64">
        <f>31.95+765.8+59.6</f>
        <v>857.35</v>
      </c>
      <c r="P65" s="62">
        <f t="shared" si="23"/>
        <v>2099.2999999999997</v>
      </c>
      <c r="Q65" s="63">
        <f t="shared" si="15"/>
        <v>0.76438728024819014</v>
      </c>
      <c r="R65" s="63">
        <f t="shared" si="16"/>
        <v>0.46339193381592553</v>
      </c>
      <c r="S65" s="63">
        <f t="shared" si="17"/>
        <v>0.76438728024819014</v>
      </c>
    </row>
    <row r="66" spans="1:19" ht="22.5" customHeight="1" x14ac:dyDescent="0.2">
      <c r="A66" s="65">
        <v>252</v>
      </c>
      <c r="B66" s="59" t="s">
        <v>115</v>
      </c>
      <c r="C66" s="60">
        <v>0</v>
      </c>
      <c r="D66" s="60">
        <v>0</v>
      </c>
      <c r="E66" s="60">
        <v>0</v>
      </c>
      <c r="F66" s="66">
        <v>300</v>
      </c>
      <c r="G66" s="127">
        <f t="shared" si="20"/>
        <v>300</v>
      </c>
      <c r="H66" s="60">
        <v>300</v>
      </c>
      <c r="I66" s="60"/>
      <c r="J66" s="66"/>
      <c r="K66" s="78"/>
      <c r="L66" s="61">
        <f t="shared" si="21"/>
        <v>300</v>
      </c>
      <c r="M66" s="61"/>
      <c r="N66" s="61">
        <f t="shared" si="22"/>
        <v>300</v>
      </c>
      <c r="O66" s="64">
        <v>0</v>
      </c>
      <c r="P66" s="62">
        <f t="shared" si="23"/>
        <v>0</v>
      </c>
      <c r="Q66" s="63">
        <f t="shared" si="15"/>
        <v>0</v>
      </c>
      <c r="R66" s="63">
        <f t="shared" si="16"/>
        <v>0</v>
      </c>
      <c r="S66" s="63">
        <f t="shared" si="17"/>
        <v>0</v>
      </c>
    </row>
    <row r="67" spans="1:19" ht="22.5" customHeight="1" x14ac:dyDescent="0.2">
      <c r="A67" s="58" t="s">
        <v>116</v>
      </c>
      <c r="B67" s="59" t="s">
        <v>117</v>
      </c>
      <c r="C67" s="66">
        <v>280</v>
      </c>
      <c r="D67" s="60">
        <v>0</v>
      </c>
      <c r="E67" s="66">
        <v>280</v>
      </c>
      <c r="F67" s="66">
        <v>10</v>
      </c>
      <c r="G67" s="127">
        <f t="shared" si="20"/>
        <v>290</v>
      </c>
      <c r="H67" s="60">
        <f>SUM(10+280)</f>
        <v>290</v>
      </c>
      <c r="I67" s="60">
        <v>0</v>
      </c>
      <c r="J67" s="66">
        <f>SUM(9.16)</f>
        <v>9.16</v>
      </c>
      <c r="K67" s="78">
        <v>9.16</v>
      </c>
      <c r="L67" s="61">
        <f t="shared" si="21"/>
        <v>280.83999999999997</v>
      </c>
      <c r="M67" s="61">
        <f t="shared" ref="M67:M82" si="25">SUM(G67-H67)</f>
        <v>0</v>
      </c>
      <c r="N67" s="61">
        <f t="shared" si="22"/>
        <v>280.83999999999997</v>
      </c>
      <c r="O67" s="64">
        <v>9.15</v>
      </c>
      <c r="P67" s="62">
        <f t="shared" si="23"/>
        <v>9.9999999999997868E-3</v>
      </c>
      <c r="Q67" s="63">
        <f t="shared" si="15"/>
        <v>3.1586206896551727E-2</v>
      </c>
      <c r="R67" s="63">
        <f t="shared" si="16"/>
        <v>3.1586206896551727E-2</v>
      </c>
      <c r="S67" s="63">
        <f t="shared" si="17"/>
        <v>3.1586206896551727E-2</v>
      </c>
    </row>
    <row r="68" spans="1:19" ht="22.5" customHeight="1" x14ac:dyDescent="0.2">
      <c r="A68" s="58" t="s">
        <v>118</v>
      </c>
      <c r="B68" s="59" t="s">
        <v>119</v>
      </c>
      <c r="C68" s="66">
        <v>1000</v>
      </c>
      <c r="D68" s="60">
        <v>0</v>
      </c>
      <c r="E68" s="66">
        <v>1000</v>
      </c>
      <c r="F68" s="66">
        <v>1100</v>
      </c>
      <c r="G68" s="127">
        <f t="shared" si="20"/>
        <v>2100</v>
      </c>
      <c r="H68" s="60">
        <f>500+1600</f>
        <v>2100</v>
      </c>
      <c r="I68" s="60">
        <v>0</v>
      </c>
      <c r="J68" s="66">
        <f>20.32+989.25</f>
        <v>1009.57</v>
      </c>
      <c r="K68" s="78">
        <f>40.64+989.25</f>
        <v>1029.8900000000001</v>
      </c>
      <c r="L68" s="61">
        <f t="shared" si="21"/>
        <v>1070.1099999999999</v>
      </c>
      <c r="M68" s="61">
        <f t="shared" si="25"/>
        <v>0</v>
      </c>
      <c r="N68" s="61">
        <f t="shared" si="22"/>
        <v>1070.1099999999999</v>
      </c>
      <c r="O68" s="64">
        <v>20.32</v>
      </c>
      <c r="P68" s="62">
        <f t="shared" si="23"/>
        <v>1009.57</v>
      </c>
      <c r="Q68" s="63">
        <f t="shared" si="15"/>
        <v>0.4904238095238096</v>
      </c>
      <c r="R68" s="63">
        <f t="shared" si="16"/>
        <v>0.48074761904761909</v>
      </c>
      <c r="S68" s="63">
        <f t="shared" si="17"/>
        <v>0.4904238095238096</v>
      </c>
    </row>
    <row r="69" spans="1:19" ht="22.5" customHeight="1" x14ac:dyDescent="0.2">
      <c r="A69" s="58" t="s">
        <v>120</v>
      </c>
      <c r="B69" s="59" t="s">
        <v>121</v>
      </c>
      <c r="C69" s="66">
        <v>1000</v>
      </c>
      <c r="D69" s="60">
        <v>0</v>
      </c>
      <c r="E69" s="66">
        <v>1000</v>
      </c>
      <c r="F69" s="66">
        <f>2000-76+1000</f>
        <v>2924</v>
      </c>
      <c r="G69" s="127">
        <f t="shared" si="20"/>
        <v>3924</v>
      </c>
      <c r="H69" s="60">
        <f>SUM(2000-76+500+1500)</f>
        <v>3924</v>
      </c>
      <c r="I69" s="60">
        <v>0</v>
      </c>
      <c r="J69" s="66">
        <f>106.93+3431.17</f>
        <v>3538.1</v>
      </c>
      <c r="K69" s="78">
        <f>106.93+3431.17</f>
        <v>3538.1</v>
      </c>
      <c r="L69" s="61">
        <f t="shared" si="21"/>
        <v>385.90000000000009</v>
      </c>
      <c r="M69" s="61">
        <f t="shared" si="25"/>
        <v>0</v>
      </c>
      <c r="N69" s="61">
        <f t="shared" si="22"/>
        <v>385.90000000000009</v>
      </c>
      <c r="O69" s="64">
        <v>106.93</v>
      </c>
      <c r="P69" s="62">
        <f t="shared" si="23"/>
        <v>3431.17</v>
      </c>
      <c r="Q69" s="63">
        <f t="shared" ref="Q69:Q85" si="26">SUM(K69/H69*100%)</f>
        <v>0.90165647298674823</v>
      </c>
      <c r="R69" s="63">
        <f t="shared" ref="R69:R85" si="27">SUM(J69/G69*100%)</f>
        <v>0.90165647298674823</v>
      </c>
      <c r="S69" s="63">
        <f t="shared" ref="S69:S85" si="28">SUM(K69/G69*100%)</f>
        <v>0.90165647298674823</v>
      </c>
    </row>
    <row r="70" spans="1:19" ht="22.5" customHeight="1" x14ac:dyDescent="0.2">
      <c r="A70" s="58">
        <v>256</v>
      </c>
      <c r="B70" s="59" t="s">
        <v>122</v>
      </c>
      <c r="C70" s="60">
        <v>0</v>
      </c>
      <c r="D70" s="60">
        <v>0</v>
      </c>
      <c r="E70" s="60">
        <v>0</v>
      </c>
      <c r="F70" s="66">
        <f>2035-1000-300</f>
        <v>735</v>
      </c>
      <c r="G70" s="127">
        <f t="shared" si="20"/>
        <v>735</v>
      </c>
      <c r="H70" s="60">
        <f>SUM(2035-1000-300)</f>
        <v>735</v>
      </c>
      <c r="I70" s="60">
        <v>0</v>
      </c>
      <c r="J70" s="66">
        <f>SUM(34.49+3.51+551.05)</f>
        <v>589.04999999999995</v>
      </c>
      <c r="K70" s="78">
        <f>34.49+7.02+551.05</f>
        <v>592.55999999999995</v>
      </c>
      <c r="L70" s="61">
        <f t="shared" si="21"/>
        <v>142.44000000000005</v>
      </c>
      <c r="M70" s="61">
        <f t="shared" si="25"/>
        <v>0</v>
      </c>
      <c r="N70" s="61">
        <f t="shared" si="22"/>
        <v>142.44000000000005</v>
      </c>
      <c r="O70" s="64">
        <f>34.49+3.51</f>
        <v>38</v>
      </c>
      <c r="P70" s="62">
        <f t="shared" si="23"/>
        <v>554.55999999999995</v>
      </c>
      <c r="Q70" s="63">
        <f t="shared" si="26"/>
        <v>0.806204081632653</v>
      </c>
      <c r="R70" s="63">
        <f t="shared" si="27"/>
        <v>0.80142857142857138</v>
      </c>
      <c r="S70" s="63">
        <f t="shared" si="28"/>
        <v>0.806204081632653</v>
      </c>
    </row>
    <row r="71" spans="1:19" ht="22.5" customHeight="1" x14ac:dyDescent="0.2">
      <c r="A71" s="58">
        <v>259</v>
      </c>
      <c r="B71" s="59" t="s">
        <v>123</v>
      </c>
      <c r="C71" s="66">
        <v>1000</v>
      </c>
      <c r="D71" s="60">
        <v>0</v>
      </c>
      <c r="E71" s="66">
        <v>1000</v>
      </c>
      <c r="F71" s="66">
        <v>100</v>
      </c>
      <c r="G71" s="127">
        <f t="shared" si="20"/>
        <v>1100</v>
      </c>
      <c r="H71" s="60">
        <f>SUM(300-300+100+500+500)</f>
        <v>1100</v>
      </c>
      <c r="I71" s="60">
        <v>0</v>
      </c>
      <c r="J71" s="66">
        <f>SUM(98.23+391.53)</f>
        <v>489.76</v>
      </c>
      <c r="K71" s="78">
        <f>98.23+391.53</f>
        <v>489.76</v>
      </c>
      <c r="L71" s="61">
        <f t="shared" si="21"/>
        <v>610.24</v>
      </c>
      <c r="M71" s="61">
        <f t="shared" si="25"/>
        <v>0</v>
      </c>
      <c r="N71" s="61">
        <f t="shared" si="22"/>
        <v>610.24</v>
      </c>
      <c r="O71" s="60">
        <v>98.23</v>
      </c>
      <c r="P71" s="62">
        <f t="shared" si="23"/>
        <v>391.53</v>
      </c>
      <c r="Q71" s="63">
        <f t="shared" si="26"/>
        <v>0.44523636363636365</v>
      </c>
      <c r="R71" s="63">
        <f t="shared" si="27"/>
        <v>0.44523636363636365</v>
      </c>
      <c r="S71" s="63">
        <f t="shared" si="28"/>
        <v>0.44523636363636365</v>
      </c>
    </row>
    <row r="72" spans="1:19" ht="22.5" customHeight="1" x14ac:dyDescent="0.2">
      <c r="A72" s="58" t="s">
        <v>124</v>
      </c>
      <c r="B72" s="59" t="s">
        <v>125</v>
      </c>
      <c r="C72" s="60">
        <v>0</v>
      </c>
      <c r="D72" s="60">
        <v>0</v>
      </c>
      <c r="E72" s="60">
        <v>0</v>
      </c>
      <c r="F72" s="66">
        <v>792</v>
      </c>
      <c r="G72" s="127">
        <f t="shared" si="20"/>
        <v>792</v>
      </c>
      <c r="H72" s="60">
        <v>792</v>
      </c>
      <c r="I72" s="60">
        <v>0</v>
      </c>
      <c r="J72" s="66">
        <f>SUM(791.8)</f>
        <v>791.8</v>
      </c>
      <c r="K72" s="78">
        <f>(791.8)</f>
        <v>791.8</v>
      </c>
      <c r="L72" s="61">
        <f t="shared" si="21"/>
        <v>0.20000000000004547</v>
      </c>
      <c r="M72" s="61">
        <f t="shared" si="25"/>
        <v>0</v>
      </c>
      <c r="N72" s="61">
        <f t="shared" si="22"/>
        <v>0.20000000000004547</v>
      </c>
      <c r="O72" s="64">
        <v>791.8</v>
      </c>
      <c r="P72" s="62">
        <f t="shared" si="23"/>
        <v>0</v>
      </c>
      <c r="Q72" s="63">
        <f t="shared" si="26"/>
        <v>0.99974747474747472</v>
      </c>
      <c r="R72" s="63">
        <f t="shared" si="27"/>
        <v>0.99974747474747472</v>
      </c>
      <c r="S72" s="63">
        <f t="shared" si="28"/>
        <v>0.99974747474747472</v>
      </c>
    </row>
    <row r="73" spans="1:19" ht="22.5" customHeight="1" x14ac:dyDescent="0.2">
      <c r="A73" s="58">
        <v>262</v>
      </c>
      <c r="B73" s="59" t="s">
        <v>126</v>
      </c>
      <c r="C73" s="60">
        <v>0</v>
      </c>
      <c r="D73" s="60">
        <v>0</v>
      </c>
      <c r="E73" s="60">
        <v>0</v>
      </c>
      <c r="F73" s="66">
        <f>267+200</f>
        <v>467</v>
      </c>
      <c r="G73" s="127">
        <f t="shared" si="20"/>
        <v>467</v>
      </c>
      <c r="H73" s="60">
        <f>267+200</f>
        <v>467</v>
      </c>
      <c r="I73" s="60">
        <v>0</v>
      </c>
      <c r="J73" s="64">
        <f>10.67+159.91</f>
        <v>170.57999999999998</v>
      </c>
      <c r="K73" s="78">
        <f>21.34+159.91</f>
        <v>181.25</v>
      </c>
      <c r="L73" s="61">
        <f t="shared" si="21"/>
        <v>285.75</v>
      </c>
      <c r="M73" s="61">
        <f t="shared" si="25"/>
        <v>0</v>
      </c>
      <c r="N73" s="61">
        <f t="shared" si="22"/>
        <v>285.75</v>
      </c>
      <c r="O73" s="64">
        <v>10.67</v>
      </c>
      <c r="P73" s="62">
        <f t="shared" si="23"/>
        <v>170.58</v>
      </c>
      <c r="Q73" s="63">
        <f t="shared" si="26"/>
        <v>0.38811563169164881</v>
      </c>
      <c r="R73" s="63">
        <f t="shared" si="27"/>
        <v>0.36526766595289079</v>
      </c>
      <c r="S73" s="63">
        <f t="shared" si="28"/>
        <v>0.38811563169164881</v>
      </c>
    </row>
    <row r="74" spans="1:19" ht="22.5" customHeight="1" x14ac:dyDescent="0.2">
      <c r="A74" s="65" t="s">
        <v>127</v>
      </c>
      <c r="B74" s="59" t="s">
        <v>128</v>
      </c>
      <c r="C74" s="66">
        <v>2501</v>
      </c>
      <c r="D74" s="60">
        <v>0</v>
      </c>
      <c r="E74" s="66">
        <v>2501</v>
      </c>
      <c r="F74" s="66">
        <f>6000-5000</f>
        <v>1000</v>
      </c>
      <c r="G74" s="127">
        <f t="shared" si="20"/>
        <v>3501</v>
      </c>
      <c r="H74" s="60">
        <f>SUM(6501+499-3499)</f>
        <v>3501</v>
      </c>
      <c r="I74" s="60">
        <v>0</v>
      </c>
      <c r="J74" s="66">
        <f>157.33+359.09-91.59</f>
        <v>424.82999999999993</v>
      </c>
      <c r="K74" s="78">
        <f>157.33+359.09-91.59</f>
        <v>424.82999999999993</v>
      </c>
      <c r="L74" s="61">
        <f t="shared" si="21"/>
        <v>3076.17</v>
      </c>
      <c r="M74" s="61">
        <f t="shared" si="25"/>
        <v>0</v>
      </c>
      <c r="N74" s="61">
        <f t="shared" si="22"/>
        <v>3076.17</v>
      </c>
      <c r="O74" s="64">
        <v>67.36</v>
      </c>
      <c r="P74" s="62">
        <f t="shared" si="23"/>
        <v>357.46999999999991</v>
      </c>
      <c r="Q74" s="63">
        <f t="shared" si="26"/>
        <v>0.12134532990574119</v>
      </c>
      <c r="R74" s="63">
        <f t="shared" si="27"/>
        <v>0.12134532990574119</v>
      </c>
      <c r="S74" s="63">
        <f t="shared" si="28"/>
        <v>0.12134532990574119</v>
      </c>
    </row>
    <row r="75" spans="1:19" ht="24.75" customHeight="1" x14ac:dyDescent="0.2">
      <c r="A75" s="58" t="s">
        <v>129</v>
      </c>
      <c r="B75" s="59" t="s">
        <v>130</v>
      </c>
      <c r="C75" s="60">
        <v>0</v>
      </c>
      <c r="D75" s="60">
        <v>0</v>
      </c>
      <c r="E75" s="60">
        <v>0</v>
      </c>
      <c r="F75" s="66">
        <f>3259-1100</f>
        <v>2159</v>
      </c>
      <c r="G75" s="127">
        <f t="shared" si="20"/>
        <v>2159</v>
      </c>
      <c r="H75" s="60">
        <f>SUM(553+2706-1100)</f>
        <v>2159</v>
      </c>
      <c r="I75" s="60">
        <v>0</v>
      </c>
      <c r="J75" s="66">
        <f>SUM(552.12+205.65+58.56+1296.45)</f>
        <v>2112.7799999999997</v>
      </c>
      <c r="K75" s="78">
        <f>757.77+58.56+1296.45</f>
        <v>2112.7799999999997</v>
      </c>
      <c r="L75" s="61">
        <f t="shared" si="21"/>
        <v>46.220000000000255</v>
      </c>
      <c r="M75" s="61">
        <f t="shared" si="25"/>
        <v>0</v>
      </c>
      <c r="N75" s="61">
        <f t="shared" si="22"/>
        <v>46.220000000000255</v>
      </c>
      <c r="O75" s="64">
        <f>615.25+70.62+130.46</f>
        <v>816.33</v>
      </c>
      <c r="P75" s="62">
        <f t="shared" si="23"/>
        <v>1296.4499999999998</v>
      </c>
      <c r="Q75" s="63">
        <f t="shared" si="26"/>
        <v>0.97859194071329303</v>
      </c>
      <c r="R75" s="63">
        <f t="shared" si="27"/>
        <v>0.97859194071329303</v>
      </c>
      <c r="S75" s="63">
        <f t="shared" si="28"/>
        <v>0.97859194071329303</v>
      </c>
    </row>
    <row r="76" spans="1:19" ht="22.5" customHeight="1" x14ac:dyDescent="0.2">
      <c r="A76" s="58" t="s">
        <v>131</v>
      </c>
      <c r="B76" s="59" t="s">
        <v>132</v>
      </c>
      <c r="C76" s="66">
        <v>1000</v>
      </c>
      <c r="D76" s="60">
        <v>0</v>
      </c>
      <c r="E76" s="66">
        <v>1000</v>
      </c>
      <c r="F76" s="66">
        <f>200-300-200</f>
        <v>-300</v>
      </c>
      <c r="G76" s="127">
        <f t="shared" si="20"/>
        <v>700</v>
      </c>
      <c r="H76" s="60">
        <f>SUM(700+250-250)</f>
        <v>700</v>
      </c>
      <c r="I76" s="60">
        <v>0</v>
      </c>
      <c r="J76" s="66">
        <v>0</v>
      </c>
      <c r="K76" s="78">
        <v>0</v>
      </c>
      <c r="L76" s="61">
        <f t="shared" si="21"/>
        <v>700</v>
      </c>
      <c r="M76" s="61">
        <f t="shared" si="25"/>
        <v>0</v>
      </c>
      <c r="N76" s="61">
        <f t="shared" si="22"/>
        <v>700</v>
      </c>
      <c r="O76" s="64">
        <v>0</v>
      </c>
      <c r="P76" s="62">
        <f t="shared" si="23"/>
        <v>0</v>
      </c>
      <c r="Q76" s="63">
        <f t="shared" si="26"/>
        <v>0</v>
      </c>
      <c r="R76" s="63">
        <f t="shared" si="27"/>
        <v>0</v>
      </c>
      <c r="S76" s="63">
        <f t="shared" si="28"/>
        <v>0</v>
      </c>
    </row>
    <row r="77" spans="1:19" ht="22.5" customHeight="1" x14ac:dyDescent="0.2">
      <c r="A77" s="58" t="s">
        <v>133</v>
      </c>
      <c r="B77" s="59" t="s">
        <v>134</v>
      </c>
      <c r="C77" s="66">
        <v>237</v>
      </c>
      <c r="D77" s="60">
        <v>0</v>
      </c>
      <c r="E77" s="66">
        <v>237</v>
      </c>
      <c r="F77" s="66">
        <f>171+2000+1500</f>
        <v>3671</v>
      </c>
      <c r="G77" s="127">
        <f t="shared" si="20"/>
        <v>3908</v>
      </c>
      <c r="H77" s="60">
        <f>SUM(237+171+2000+1500)</f>
        <v>3908</v>
      </c>
      <c r="I77" s="60">
        <v>0</v>
      </c>
      <c r="J77" s="66">
        <f>406.19+1310.94-769.09+1049.3</f>
        <v>1997.3400000000001</v>
      </c>
      <c r="K77" s="78">
        <f>406.19+1310.94+541.85+1049.3</f>
        <v>3308.2799999999997</v>
      </c>
      <c r="L77" s="61">
        <f t="shared" si="21"/>
        <v>599.72000000000025</v>
      </c>
      <c r="M77" s="61">
        <f t="shared" si="25"/>
        <v>0</v>
      </c>
      <c r="N77" s="61">
        <f t="shared" si="22"/>
        <v>599.72000000000025</v>
      </c>
      <c r="O77" s="64">
        <f>406.19+541.85</f>
        <v>948.04</v>
      </c>
      <c r="P77" s="62">
        <f t="shared" si="23"/>
        <v>2360.2399999999998</v>
      </c>
      <c r="Q77" s="63">
        <f t="shared" si="26"/>
        <v>0.84654042988741041</v>
      </c>
      <c r="R77" s="63">
        <f t="shared" si="27"/>
        <v>0.51109007164790177</v>
      </c>
      <c r="S77" s="63">
        <f t="shared" si="28"/>
        <v>0.84654042988741041</v>
      </c>
    </row>
    <row r="78" spans="1:19" ht="22.5" customHeight="1" x14ac:dyDescent="0.2">
      <c r="A78" s="58" t="s">
        <v>135</v>
      </c>
      <c r="B78" s="59" t="s">
        <v>136</v>
      </c>
      <c r="C78" s="66">
        <v>6000</v>
      </c>
      <c r="D78" s="60">
        <v>0</v>
      </c>
      <c r="E78" s="66">
        <v>6000</v>
      </c>
      <c r="F78" s="66">
        <f>4371+1600-2500</f>
        <v>3471</v>
      </c>
      <c r="G78" s="127">
        <f t="shared" si="20"/>
        <v>9471</v>
      </c>
      <c r="H78" s="60">
        <f>SUM(3000-429+4800+1600-1000)</f>
        <v>7971</v>
      </c>
      <c r="I78" s="60">
        <v>0</v>
      </c>
      <c r="J78" s="66">
        <f>SUM(1588.12+111.97+1226.36+37.07+3907.31)</f>
        <v>6870.83</v>
      </c>
      <c r="K78" s="78">
        <f>1700.09+161.91+1064.45+44.13+3907.31</f>
        <v>6877.8899999999994</v>
      </c>
      <c r="L78" s="61">
        <f t="shared" si="21"/>
        <v>1093.1100000000006</v>
      </c>
      <c r="M78" s="61">
        <f t="shared" si="25"/>
        <v>1500</v>
      </c>
      <c r="N78" s="61">
        <f t="shared" si="22"/>
        <v>2593.1100000000006</v>
      </c>
      <c r="O78" s="60">
        <f>271.62+183.74+149.02</f>
        <v>604.38</v>
      </c>
      <c r="P78" s="62">
        <f t="shared" si="23"/>
        <v>6273.5099999999993</v>
      </c>
      <c r="Q78" s="63">
        <f t="shared" si="26"/>
        <v>0.86286413248024085</v>
      </c>
      <c r="R78" s="63">
        <f t="shared" si="27"/>
        <v>0.72545982472811743</v>
      </c>
      <c r="S78" s="63">
        <f t="shared" si="28"/>
        <v>0.72620525815647763</v>
      </c>
    </row>
    <row r="79" spans="1:19" ht="22.5" customHeight="1" x14ac:dyDescent="0.2">
      <c r="A79" s="58" t="s">
        <v>137</v>
      </c>
      <c r="B79" s="59" t="s">
        <v>138</v>
      </c>
      <c r="C79" s="66">
        <v>2500</v>
      </c>
      <c r="D79" s="60">
        <v>0</v>
      </c>
      <c r="E79" s="66">
        <v>2500</v>
      </c>
      <c r="F79" s="66">
        <f>2000-1000</f>
        <v>1000</v>
      </c>
      <c r="G79" s="127">
        <f t="shared" si="20"/>
        <v>3500</v>
      </c>
      <c r="H79" s="60">
        <f>SUM(3000+500)</f>
        <v>3500</v>
      </c>
      <c r="I79" s="60">
        <v>0</v>
      </c>
      <c r="J79" s="60">
        <v>258.94</v>
      </c>
      <c r="K79" s="78">
        <f>2000-1741.06</f>
        <v>258.94000000000005</v>
      </c>
      <c r="L79" s="61">
        <f t="shared" si="21"/>
        <v>3241.06</v>
      </c>
      <c r="M79" s="61">
        <f t="shared" si="25"/>
        <v>0</v>
      </c>
      <c r="N79" s="61">
        <f t="shared" si="22"/>
        <v>3241.06</v>
      </c>
      <c r="O79" s="64">
        <v>0</v>
      </c>
      <c r="P79" s="62">
        <f t="shared" si="23"/>
        <v>258.94000000000005</v>
      </c>
      <c r="Q79" s="63">
        <f t="shared" si="26"/>
        <v>7.3982857142857156E-2</v>
      </c>
      <c r="R79" s="63">
        <f t="shared" si="27"/>
        <v>7.3982857142857142E-2</v>
      </c>
      <c r="S79" s="63">
        <f t="shared" si="28"/>
        <v>7.3982857142857156E-2</v>
      </c>
    </row>
    <row r="80" spans="1:19" ht="22.5" customHeight="1" x14ac:dyDescent="0.2">
      <c r="A80" s="65" t="s">
        <v>139</v>
      </c>
      <c r="B80" s="59" t="s">
        <v>140</v>
      </c>
      <c r="C80" s="66">
        <v>7020</v>
      </c>
      <c r="D80" s="60">
        <v>0</v>
      </c>
      <c r="E80" s="66">
        <v>7020</v>
      </c>
      <c r="F80" s="66">
        <f>2000-400-3000</f>
        <v>-1400</v>
      </c>
      <c r="G80" s="127">
        <f t="shared" si="20"/>
        <v>5620</v>
      </c>
      <c r="H80" s="60">
        <f>SUM(5000-400+2000-980)</f>
        <v>5620</v>
      </c>
      <c r="I80" s="60">
        <v>0</v>
      </c>
      <c r="J80" s="66">
        <f>SUM(423.19+419.44+806.67+99.46+199.68)</f>
        <v>1948.44</v>
      </c>
      <c r="K80" s="78">
        <f>423.19+509.41+1559.95+180.69+28.48</f>
        <v>2701.7200000000003</v>
      </c>
      <c r="L80" s="61">
        <f t="shared" si="21"/>
        <v>2918.2799999999997</v>
      </c>
      <c r="M80" s="61">
        <f t="shared" si="25"/>
        <v>0</v>
      </c>
      <c r="N80" s="61">
        <f t="shared" si="22"/>
        <v>2918.2799999999997</v>
      </c>
      <c r="O80" s="64">
        <f>783.24+56.66+59.39</f>
        <v>899.29</v>
      </c>
      <c r="P80" s="62">
        <f t="shared" si="23"/>
        <v>1802.4300000000003</v>
      </c>
      <c r="Q80" s="63">
        <f t="shared" si="26"/>
        <v>0.48073309608540932</v>
      </c>
      <c r="R80" s="63">
        <f t="shared" si="27"/>
        <v>0.34669750889679718</v>
      </c>
      <c r="S80" s="63">
        <f t="shared" si="28"/>
        <v>0.48073309608540932</v>
      </c>
    </row>
    <row r="81" spans="1:19" ht="22.5" customHeight="1" x14ac:dyDescent="0.2">
      <c r="A81" s="58">
        <v>292</v>
      </c>
      <c r="B81" s="59" t="s">
        <v>141</v>
      </c>
      <c r="C81" s="60">
        <v>0</v>
      </c>
      <c r="D81" s="60">
        <v>0</v>
      </c>
      <c r="E81" s="60">
        <v>0</v>
      </c>
      <c r="F81" s="66">
        <v>69</v>
      </c>
      <c r="G81" s="127">
        <f t="shared" si="20"/>
        <v>69</v>
      </c>
      <c r="H81" s="60">
        <v>69</v>
      </c>
      <c r="I81" s="60">
        <v>0</v>
      </c>
      <c r="J81" s="64">
        <f>68.46-68.46</f>
        <v>0</v>
      </c>
      <c r="K81" s="78">
        <f>68.46-68.46</f>
        <v>0</v>
      </c>
      <c r="L81" s="61">
        <f t="shared" si="21"/>
        <v>69</v>
      </c>
      <c r="M81" s="61">
        <f t="shared" si="25"/>
        <v>0</v>
      </c>
      <c r="N81" s="61">
        <f t="shared" si="22"/>
        <v>69</v>
      </c>
      <c r="O81" s="64">
        <v>0</v>
      </c>
      <c r="P81" s="62">
        <f t="shared" si="23"/>
        <v>0</v>
      </c>
      <c r="Q81" s="63">
        <f t="shared" si="26"/>
        <v>0</v>
      </c>
      <c r="R81" s="63">
        <f t="shared" si="27"/>
        <v>0</v>
      </c>
      <c r="S81" s="63">
        <f t="shared" si="28"/>
        <v>0</v>
      </c>
    </row>
    <row r="82" spans="1:19" ht="22.5" customHeight="1" thickBot="1" x14ac:dyDescent="0.25">
      <c r="A82" s="58">
        <v>297</v>
      </c>
      <c r="B82" s="59" t="s">
        <v>142</v>
      </c>
      <c r="C82" s="60">
        <v>0</v>
      </c>
      <c r="D82" s="60">
        <v>0</v>
      </c>
      <c r="E82" s="60">
        <v>0</v>
      </c>
      <c r="F82" s="66">
        <v>78</v>
      </c>
      <c r="G82" s="127">
        <f t="shared" si="20"/>
        <v>78</v>
      </c>
      <c r="H82" s="60">
        <v>78</v>
      </c>
      <c r="I82" s="60">
        <v>0</v>
      </c>
      <c r="J82" s="64">
        <f>10.69-10.69</f>
        <v>0</v>
      </c>
      <c r="K82" s="78">
        <f>10.69-10.69</f>
        <v>0</v>
      </c>
      <c r="L82" s="61">
        <f t="shared" si="21"/>
        <v>78</v>
      </c>
      <c r="M82" s="61">
        <f t="shared" si="25"/>
        <v>0</v>
      </c>
      <c r="N82" s="61">
        <f t="shared" si="22"/>
        <v>78</v>
      </c>
      <c r="O82" s="64">
        <v>0</v>
      </c>
      <c r="P82" s="62">
        <f t="shared" si="23"/>
        <v>0</v>
      </c>
      <c r="Q82" s="63">
        <f t="shared" si="26"/>
        <v>0</v>
      </c>
      <c r="R82" s="63">
        <f t="shared" si="27"/>
        <v>0</v>
      </c>
      <c r="S82" s="63">
        <f t="shared" si="28"/>
        <v>0</v>
      </c>
    </row>
    <row r="83" spans="1:19" s="48" customFormat="1" ht="34.5" customHeight="1" thickBot="1" x14ac:dyDescent="0.25">
      <c r="A83" s="81">
        <v>3</v>
      </c>
      <c r="B83" s="70" t="s">
        <v>143</v>
      </c>
      <c r="C83" s="82">
        <f t="shared" ref="C83:P83" si="29">SUM(C84:C90)</f>
        <v>0</v>
      </c>
      <c r="D83" s="82">
        <f t="shared" si="29"/>
        <v>0</v>
      </c>
      <c r="E83" s="82">
        <f t="shared" si="29"/>
        <v>0</v>
      </c>
      <c r="F83" s="82">
        <f t="shared" si="29"/>
        <v>43174</v>
      </c>
      <c r="G83" s="83">
        <f t="shared" si="29"/>
        <v>43174</v>
      </c>
      <c r="H83" s="82">
        <f t="shared" si="29"/>
        <v>43174</v>
      </c>
      <c r="I83" s="82">
        <f t="shared" si="29"/>
        <v>0</v>
      </c>
      <c r="J83" s="82">
        <f t="shared" si="29"/>
        <v>37732.1</v>
      </c>
      <c r="K83" s="82">
        <f t="shared" si="29"/>
        <v>37732.35</v>
      </c>
      <c r="L83" s="82">
        <f t="shared" si="29"/>
        <v>5441.65</v>
      </c>
      <c r="M83" s="82">
        <f t="shared" si="29"/>
        <v>0</v>
      </c>
      <c r="N83" s="82">
        <f t="shared" si="29"/>
        <v>5441.65</v>
      </c>
      <c r="O83" s="82">
        <f t="shared" si="29"/>
        <v>4886.1000000000004</v>
      </c>
      <c r="P83" s="83">
        <f t="shared" si="29"/>
        <v>32846.25</v>
      </c>
      <c r="Q83" s="75">
        <f t="shared" si="26"/>
        <v>0.87396002223560476</v>
      </c>
      <c r="R83" s="84">
        <f t="shared" si="27"/>
        <v>0.87395423171353126</v>
      </c>
      <c r="S83" s="85">
        <f t="shared" si="28"/>
        <v>0.87396002223560476</v>
      </c>
    </row>
    <row r="84" spans="1:19" ht="22.5" customHeight="1" x14ac:dyDescent="0.2">
      <c r="A84" s="58" t="s">
        <v>144</v>
      </c>
      <c r="B84" s="86" t="s">
        <v>145</v>
      </c>
      <c r="C84" s="60">
        <v>0</v>
      </c>
      <c r="D84" s="60">
        <v>0</v>
      </c>
      <c r="E84" s="60">
        <v>0</v>
      </c>
      <c r="F84" s="60">
        <v>400</v>
      </c>
      <c r="G84" s="127">
        <f>SUM(E84+F84)</f>
        <v>400</v>
      </c>
      <c r="H84" s="60">
        <v>400</v>
      </c>
      <c r="I84" s="60">
        <v>0</v>
      </c>
      <c r="J84" s="60">
        <v>0</v>
      </c>
      <c r="K84" s="78">
        <f>299.95-299.95</f>
        <v>0</v>
      </c>
      <c r="L84" s="61">
        <f t="shared" ref="L84:L90" si="30">SUM(H84-K84)</f>
        <v>400</v>
      </c>
      <c r="M84" s="61">
        <f>SUM(G84-H84)</f>
        <v>0</v>
      </c>
      <c r="N84" s="61">
        <f t="shared" ref="N84:N90" si="31">SUM(-I84+L84+M84)</f>
        <v>400</v>
      </c>
      <c r="O84" s="60">
        <v>0</v>
      </c>
      <c r="P84" s="62">
        <f t="shared" ref="P84:P90" si="32">SUM(K84-O84)</f>
        <v>0</v>
      </c>
      <c r="Q84" s="63">
        <f t="shared" si="26"/>
        <v>0</v>
      </c>
      <c r="R84" s="63">
        <f t="shared" si="27"/>
        <v>0</v>
      </c>
      <c r="S84" s="63">
        <f t="shared" si="28"/>
        <v>0</v>
      </c>
    </row>
    <row r="85" spans="1:19" ht="22.5" customHeight="1" x14ac:dyDescent="0.2">
      <c r="A85" s="58">
        <v>314</v>
      </c>
      <c r="B85" s="86" t="s">
        <v>146</v>
      </c>
      <c r="C85" s="60">
        <v>0</v>
      </c>
      <c r="D85" s="60">
        <v>0</v>
      </c>
      <c r="E85" s="60">
        <v>0</v>
      </c>
      <c r="F85" s="60">
        <v>37887</v>
      </c>
      <c r="G85" s="66">
        <v>37887</v>
      </c>
      <c r="H85" s="60">
        <v>37887</v>
      </c>
      <c r="I85" s="60"/>
      <c r="J85" s="60">
        <v>32846</v>
      </c>
      <c r="K85" s="78">
        <v>32846.25</v>
      </c>
      <c r="L85" s="61">
        <f t="shared" si="30"/>
        <v>5040.75</v>
      </c>
      <c r="M85" s="61"/>
      <c r="N85" s="61">
        <f t="shared" si="31"/>
        <v>5040.75</v>
      </c>
      <c r="O85" s="60"/>
      <c r="P85" s="62">
        <f t="shared" si="32"/>
        <v>32846.25</v>
      </c>
      <c r="Q85" s="63">
        <f t="shared" si="26"/>
        <v>0.86695304457993505</v>
      </c>
      <c r="R85" s="63">
        <f t="shared" si="27"/>
        <v>0.86694644601050497</v>
      </c>
      <c r="S85" s="63">
        <f t="shared" si="28"/>
        <v>0.86695304457993505</v>
      </c>
    </row>
    <row r="86" spans="1:19" ht="22.5" customHeight="1" x14ac:dyDescent="0.2">
      <c r="A86" s="58">
        <v>320</v>
      </c>
      <c r="B86" s="86" t="s">
        <v>147</v>
      </c>
      <c r="C86" s="60">
        <v>0</v>
      </c>
      <c r="D86" s="60">
        <v>0</v>
      </c>
      <c r="E86" s="60">
        <v>0</v>
      </c>
      <c r="F86" s="60">
        <v>0</v>
      </c>
      <c r="G86" s="60">
        <v>0</v>
      </c>
      <c r="H86" s="60">
        <v>0</v>
      </c>
      <c r="I86" s="60">
        <v>0</v>
      </c>
      <c r="J86" s="60">
        <v>0</v>
      </c>
      <c r="K86" s="78">
        <v>0</v>
      </c>
      <c r="L86" s="61">
        <f t="shared" si="30"/>
        <v>0</v>
      </c>
      <c r="M86" s="61">
        <f>SUM(G86-H86)</f>
        <v>0</v>
      </c>
      <c r="N86" s="61">
        <f t="shared" si="31"/>
        <v>0</v>
      </c>
      <c r="O86" s="60">
        <v>0</v>
      </c>
      <c r="P86" s="62">
        <f t="shared" si="32"/>
        <v>0</v>
      </c>
      <c r="Q86" s="63">
        <v>0</v>
      </c>
      <c r="R86" s="63">
        <v>0</v>
      </c>
      <c r="S86" s="63">
        <v>0</v>
      </c>
    </row>
    <row r="87" spans="1:19" ht="22.5" customHeight="1" x14ac:dyDescent="0.2">
      <c r="A87" s="58" t="s">
        <v>148</v>
      </c>
      <c r="B87" s="86" t="s">
        <v>149</v>
      </c>
      <c r="C87" s="60">
        <v>0</v>
      </c>
      <c r="D87" s="60">
        <v>0</v>
      </c>
      <c r="E87" s="60">
        <v>0</v>
      </c>
      <c r="F87" s="60">
        <v>0</v>
      </c>
      <c r="G87" s="60">
        <v>0</v>
      </c>
      <c r="H87" s="60">
        <v>0</v>
      </c>
      <c r="I87" s="60">
        <v>0</v>
      </c>
      <c r="J87" s="60">
        <v>0</v>
      </c>
      <c r="K87" s="78">
        <v>0</v>
      </c>
      <c r="L87" s="61">
        <f t="shared" si="30"/>
        <v>0</v>
      </c>
      <c r="M87" s="61">
        <f>SUM(G87-H87)</f>
        <v>0</v>
      </c>
      <c r="N87" s="61">
        <f t="shared" si="31"/>
        <v>0</v>
      </c>
      <c r="O87" s="60">
        <v>0</v>
      </c>
      <c r="P87" s="62">
        <f t="shared" si="32"/>
        <v>0</v>
      </c>
      <c r="Q87" s="63">
        <v>0</v>
      </c>
      <c r="R87" s="63">
        <v>0</v>
      </c>
      <c r="S87" s="63">
        <v>0</v>
      </c>
    </row>
    <row r="88" spans="1:19" ht="22.5" customHeight="1" x14ac:dyDescent="0.2">
      <c r="A88" s="58" t="s">
        <v>150</v>
      </c>
      <c r="B88" s="86" t="s">
        <v>151</v>
      </c>
      <c r="C88" s="60">
        <v>0</v>
      </c>
      <c r="D88" s="60">
        <v>0</v>
      </c>
      <c r="E88" s="60">
        <v>0</v>
      </c>
      <c r="F88" s="60">
        <v>4887</v>
      </c>
      <c r="G88" s="127">
        <f>SUM(E88+F88)</f>
        <v>4887</v>
      </c>
      <c r="H88" s="60">
        <v>4887</v>
      </c>
      <c r="I88" s="60">
        <v>0</v>
      </c>
      <c r="J88" s="60">
        <v>4886.1000000000004</v>
      </c>
      <c r="K88" s="78">
        <v>4886.1000000000004</v>
      </c>
      <c r="L88" s="61">
        <f t="shared" si="30"/>
        <v>0.8999999999996362</v>
      </c>
      <c r="M88" s="61">
        <f>SUM(G88-H88)</f>
        <v>0</v>
      </c>
      <c r="N88" s="61">
        <f t="shared" si="31"/>
        <v>0.8999999999996362</v>
      </c>
      <c r="O88" s="60">
        <v>4886.1000000000004</v>
      </c>
      <c r="P88" s="62">
        <f t="shared" si="32"/>
        <v>0</v>
      </c>
      <c r="Q88" s="63">
        <f>SUM(K88/H88*100%)</f>
        <v>0.99981583793738493</v>
      </c>
      <c r="R88" s="63">
        <f>SUM(J88/G88*100%)</f>
        <v>0.99981583793738493</v>
      </c>
      <c r="S88" s="63">
        <f>SUM(K88/G88*100%)</f>
        <v>0.99981583793738493</v>
      </c>
    </row>
    <row r="89" spans="1:19" ht="22.5" customHeight="1" x14ac:dyDescent="0.2">
      <c r="A89" s="58" t="s">
        <v>152</v>
      </c>
      <c r="B89" s="86" t="s">
        <v>143</v>
      </c>
      <c r="C89" s="60">
        <v>0</v>
      </c>
      <c r="D89" s="60">
        <v>0</v>
      </c>
      <c r="E89" s="60">
        <v>0</v>
      </c>
      <c r="F89" s="60">
        <v>0</v>
      </c>
      <c r="G89" s="60">
        <v>0</v>
      </c>
      <c r="H89" s="60">
        <v>0</v>
      </c>
      <c r="I89" s="60">
        <v>0</v>
      </c>
      <c r="J89" s="60">
        <v>0</v>
      </c>
      <c r="K89" s="78">
        <v>0</v>
      </c>
      <c r="L89" s="61">
        <f t="shared" si="30"/>
        <v>0</v>
      </c>
      <c r="M89" s="61">
        <f>SUM(G89-H89)</f>
        <v>0</v>
      </c>
      <c r="N89" s="61">
        <f t="shared" si="31"/>
        <v>0</v>
      </c>
      <c r="O89" s="60">
        <v>0</v>
      </c>
      <c r="P89" s="62">
        <f t="shared" si="32"/>
        <v>0</v>
      </c>
      <c r="Q89" s="63">
        <v>0</v>
      </c>
      <c r="R89" s="63">
        <v>0</v>
      </c>
      <c r="S89" s="63">
        <v>0</v>
      </c>
    </row>
    <row r="90" spans="1:19" ht="22.5" customHeight="1" thickBot="1" x14ac:dyDescent="0.25">
      <c r="A90" s="58">
        <v>380</v>
      </c>
      <c r="B90" s="86" t="s">
        <v>153</v>
      </c>
      <c r="C90" s="60">
        <v>0</v>
      </c>
      <c r="D90" s="60">
        <v>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J90" s="60">
        <v>0</v>
      </c>
      <c r="K90" s="78">
        <v>0</v>
      </c>
      <c r="L90" s="61">
        <f t="shared" si="30"/>
        <v>0</v>
      </c>
      <c r="M90" s="61">
        <f>SUM(G90-H90)</f>
        <v>0</v>
      </c>
      <c r="N90" s="61">
        <f t="shared" si="31"/>
        <v>0</v>
      </c>
      <c r="O90" s="60">
        <v>0</v>
      </c>
      <c r="P90" s="62">
        <f t="shared" si="32"/>
        <v>0</v>
      </c>
      <c r="Q90" s="63">
        <v>0</v>
      </c>
      <c r="R90" s="63">
        <v>0</v>
      </c>
      <c r="S90" s="63">
        <v>0</v>
      </c>
    </row>
    <row r="91" spans="1:19" s="48" customFormat="1" ht="22.5" customHeight="1" thickBot="1" x14ac:dyDescent="0.25">
      <c r="A91" s="87">
        <v>6</v>
      </c>
      <c r="B91" s="88" t="s">
        <v>154</v>
      </c>
      <c r="C91" s="89">
        <f>SUM(C93:C95)</f>
        <v>268</v>
      </c>
      <c r="D91" s="89">
        <f>SUM(D93:D95)</f>
        <v>0</v>
      </c>
      <c r="E91" s="89">
        <f>SUM(E93:E95)</f>
        <v>268</v>
      </c>
      <c r="F91" s="89">
        <f>SUM(F92:F95)</f>
        <v>15727</v>
      </c>
      <c r="G91" s="90">
        <f>SUM(G92:G95)</f>
        <v>15995</v>
      </c>
      <c r="H91" s="89">
        <f>SUM(H92:H95)</f>
        <v>15995</v>
      </c>
      <c r="I91" s="89">
        <f>SUM(I93:I95)</f>
        <v>0</v>
      </c>
      <c r="J91" s="89">
        <f>SUM(J93:J95)</f>
        <v>15726.5</v>
      </c>
      <c r="K91" s="91">
        <f>SUM(K92:K95)</f>
        <v>15726.5</v>
      </c>
      <c r="L91" s="89">
        <f>SUM(L93:L95)</f>
        <v>268.5</v>
      </c>
      <c r="M91" s="89">
        <f>SUM(M93:M95)</f>
        <v>0</v>
      </c>
      <c r="N91" s="89">
        <f>SUM(N93:N95)</f>
        <v>268.5</v>
      </c>
      <c r="O91" s="89">
        <f>SUM(O93:O95)</f>
        <v>0</v>
      </c>
      <c r="P91" s="89">
        <f>SUM(P93:P95)</f>
        <v>15726.5</v>
      </c>
      <c r="Q91" s="75">
        <f>SUM(K91/H91*100%)</f>
        <v>0.98321350422006881</v>
      </c>
      <c r="R91" s="75">
        <f>SUM(J91/G91*100%)</f>
        <v>0.98321350422006881</v>
      </c>
      <c r="S91" s="75">
        <f>SUM(K91/G91*100%)</f>
        <v>0.98321350422006881</v>
      </c>
    </row>
    <row r="92" spans="1:19" s="48" customFormat="1" ht="22.5" customHeight="1" x14ac:dyDescent="0.2">
      <c r="A92" s="65">
        <v>612</v>
      </c>
      <c r="B92" s="59" t="s">
        <v>155</v>
      </c>
      <c r="C92" s="92">
        <v>0</v>
      </c>
      <c r="D92" s="92">
        <v>0</v>
      </c>
      <c r="E92" s="92">
        <v>0</v>
      </c>
      <c r="F92" s="92">
        <f>15727-15727</f>
        <v>0</v>
      </c>
      <c r="G92" s="60">
        <v>0</v>
      </c>
      <c r="H92" s="92">
        <f>15727-15727</f>
        <v>0</v>
      </c>
      <c r="I92" s="60">
        <v>0</v>
      </c>
      <c r="J92" s="92">
        <v>0</v>
      </c>
      <c r="K92" s="93">
        <f>15726.5-15726.5</f>
        <v>0</v>
      </c>
      <c r="L92" s="92">
        <f>SUM(H92-K92)</f>
        <v>0</v>
      </c>
      <c r="M92" s="61">
        <f>SUM(G92-H92)</f>
        <v>0</v>
      </c>
      <c r="N92" s="92">
        <f>SUM(-I92+L92+M92)</f>
        <v>0</v>
      </c>
      <c r="O92" s="92">
        <v>0</v>
      </c>
      <c r="P92" s="62">
        <f>SUM(K92-O92)</f>
        <v>0</v>
      </c>
      <c r="Q92" s="63">
        <v>0</v>
      </c>
      <c r="R92" s="63">
        <v>0</v>
      </c>
      <c r="S92" s="63">
        <v>0</v>
      </c>
    </row>
    <row r="93" spans="1:19" ht="22.5" customHeight="1" x14ac:dyDescent="0.2">
      <c r="A93" s="65" t="s">
        <v>156</v>
      </c>
      <c r="B93" s="59" t="s">
        <v>157</v>
      </c>
      <c r="C93" s="60">
        <v>0</v>
      </c>
      <c r="D93" s="60">
        <v>0</v>
      </c>
      <c r="E93" s="60">
        <v>0</v>
      </c>
      <c r="F93" s="60">
        <f>1500-1500</f>
        <v>0</v>
      </c>
      <c r="G93" s="60">
        <v>0</v>
      </c>
      <c r="H93" s="60">
        <f>1500-1500</f>
        <v>0</v>
      </c>
      <c r="I93" s="60">
        <v>0</v>
      </c>
      <c r="J93" s="60">
        <v>0</v>
      </c>
      <c r="K93" s="78">
        <v>0</v>
      </c>
      <c r="L93" s="61">
        <f>SUM(H93-K93)</f>
        <v>0</v>
      </c>
      <c r="M93" s="61">
        <f>SUM(G93-H93)</f>
        <v>0</v>
      </c>
      <c r="N93" s="61">
        <f>SUM(-I93+L93+M93)</f>
        <v>0</v>
      </c>
      <c r="O93" s="60">
        <v>0</v>
      </c>
      <c r="P93" s="62">
        <f>SUM(K93-O93)</f>
        <v>0</v>
      </c>
      <c r="Q93" s="63">
        <v>0</v>
      </c>
      <c r="R93" s="63">
        <v>0</v>
      </c>
      <c r="S93" s="63">
        <v>0</v>
      </c>
    </row>
    <row r="94" spans="1:19" ht="25.5" customHeight="1" x14ac:dyDescent="0.2">
      <c r="A94" s="65" t="s">
        <v>158</v>
      </c>
      <c r="B94" s="59" t="s">
        <v>159</v>
      </c>
      <c r="C94" s="66">
        <v>268</v>
      </c>
      <c r="D94" s="60">
        <v>0</v>
      </c>
      <c r="E94" s="66">
        <v>268</v>
      </c>
      <c r="F94" s="60"/>
      <c r="G94" s="127">
        <f>SUM(E94+F94)</f>
        <v>268</v>
      </c>
      <c r="H94" s="60">
        <v>268</v>
      </c>
      <c r="I94" s="60">
        <v>0</v>
      </c>
      <c r="J94" s="60">
        <v>0</v>
      </c>
      <c r="K94" s="78">
        <v>0</v>
      </c>
      <c r="L94" s="61">
        <f>SUM(H94-K94)</f>
        <v>268</v>
      </c>
      <c r="M94" s="61">
        <f>SUM(G94-H94)</f>
        <v>0</v>
      </c>
      <c r="N94" s="61">
        <f>SUM(-I94+L94+M94)</f>
        <v>268</v>
      </c>
      <c r="O94" s="60">
        <v>0</v>
      </c>
      <c r="P94" s="62">
        <f>SUM(K94-O94)</f>
        <v>0</v>
      </c>
      <c r="Q94" s="63">
        <f t="shared" ref="Q94:Q100" si="33">SUM(K94/H94*100%)</f>
        <v>0</v>
      </c>
      <c r="R94" s="63">
        <f t="shared" ref="R94:R100" si="34">SUM(J94/G94*100%)</f>
        <v>0</v>
      </c>
      <c r="S94" s="63">
        <f t="shared" ref="S94:S100" si="35">SUM(K94/G94*100%)</f>
        <v>0</v>
      </c>
    </row>
    <row r="95" spans="1:19" ht="25.5" customHeight="1" thickBot="1" x14ac:dyDescent="0.25">
      <c r="A95" s="65">
        <v>692</v>
      </c>
      <c r="B95" s="59" t="s">
        <v>160</v>
      </c>
      <c r="C95" s="60">
        <v>0</v>
      </c>
      <c r="D95" s="60">
        <v>0</v>
      </c>
      <c r="E95" s="60">
        <v>0</v>
      </c>
      <c r="F95" s="60">
        <v>15727</v>
      </c>
      <c r="G95" s="127">
        <f>SUM(E95+F95)</f>
        <v>15727</v>
      </c>
      <c r="H95" s="60">
        <v>15727</v>
      </c>
      <c r="I95" s="60">
        <v>0</v>
      </c>
      <c r="J95" s="60">
        <v>15726.5</v>
      </c>
      <c r="K95" s="78">
        <v>15726.5</v>
      </c>
      <c r="L95" s="61">
        <f>SUM(H95-K95)</f>
        <v>0.5</v>
      </c>
      <c r="M95" s="61">
        <f>SUM(G95-H95)</f>
        <v>0</v>
      </c>
      <c r="N95" s="61">
        <f>SUM(-I95+L95+M95)</f>
        <v>0.5</v>
      </c>
      <c r="O95" s="60">
        <v>0</v>
      </c>
      <c r="P95" s="62">
        <f>SUM(K95-O95)</f>
        <v>15726.5</v>
      </c>
      <c r="Q95" s="63">
        <f t="shared" si="33"/>
        <v>0.99996820754117122</v>
      </c>
      <c r="R95" s="63">
        <f t="shared" si="34"/>
        <v>0.99996820754117122</v>
      </c>
      <c r="S95" s="63">
        <f t="shared" si="35"/>
        <v>0.99996820754117122</v>
      </c>
    </row>
    <row r="96" spans="1:19" ht="12.75" thickBot="1" x14ac:dyDescent="0.25">
      <c r="A96" s="94"/>
      <c r="B96" s="95" t="s">
        <v>161</v>
      </c>
      <c r="C96" s="125">
        <v>0</v>
      </c>
      <c r="D96" s="95">
        <v>0</v>
      </c>
      <c r="E96" s="125">
        <v>0</v>
      </c>
      <c r="F96" s="96">
        <f>SUM(F97+F99)</f>
        <v>100000</v>
      </c>
      <c r="G96" s="96">
        <f>SUM(G97+G99)</f>
        <v>100000</v>
      </c>
      <c r="H96" s="96">
        <f>SUM(H97+H99)</f>
        <v>100000</v>
      </c>
      <c r="I96" s="131">
        <v>0</v>
      </c>
      <c r="J96" s="96">
        <f>SUM(J97+J99)</f>
        <v>84859.16</v>
      </c>
      <c r="K96" s="97">
        <f>SUM(K97+K99)</f>
        <v>84858.89</v>
      </c>
      <c r="L96" s="98">
        <f>SUM(L97+L99)</f>
        <v>15141.11</v>
      </c>
      <c r="M96" s="89">
        <f>SUM(M100:M102)</f>
        <v>0</v>
      </c>
      <c r="N96" s="89">
        <f>SUM(N97+N99)</f>
        <v>15141.11</v>
      </c>
      <c r="O96" s="89">
        <f>SUM(O97+O99)</f>
        <v>20032.12</v>
      </c>
      <c r="P96" s="89">
        <f>SUM(P97+P99)</f>
        <v>64826.77</v>
      </c>
      <c r="Q96" s="75">
        <f t="shared" si="33"/>
        <v>0.84858889999999998</v>
      </c>
      <c r="R96" s="75">
        <f t="shared" si="34"/>
        <v>0.8485916</v>
      </c>
      <c r="S96" s="99">
        <f t="shared" si="35"/>
        <v>0.84858889999999998</v>
      </c>
    </row>
    <row r="97" spans="1:19" s="48" customFormat="1" ht="22.5" customHeight="1" thickBot="1" x14ac:dyDescent="0.25">
      <c r="A97" s="87">
        <v>2</v>
      </c>
      <c r="B97" s="88" t="s">
        <v>93</v>
      </c>
      <c r="C97" s="89">
        <v>0</v>
      </c>
      <c r="D97" s="89">
        <v>0</v>
      </c>
      <c r="E97" s="89">
        <v>0</v>
      </c>
      <c r="F97" s="89">
        <f>F98</f>
        <v>3627</v>
      </c>
      <c r="G97" s="90">
        <f>G98</f>
        <v>3627</v>
      </c>
      <c r="H97" s="89">
        <f>H98</f>
        <v>3627</v>
      </c>
      <c r="I97" s="89">
        <v>0</v>
      </c>
      <c r="J97" s="89">
        <f>J98</f>
        <v>3623.6</v>
      </c>
      <c r="K97" s="91">
        <f>K98</f>
        <v>3623.23</v>
      </c>
      <c r="L97" s="89">
        <f>SUM(H97-K97)</f>
        <v>3.7699999999999818</v>
      </c>
      <c r="M97" s="89">
        <v>0</v>
      </c>
      <c r="N97" s="89">
        <f>SUM(-I97+L97+M97)</f>
        <v>3.7699999999999818</v>
      </c>
      <c r="O97" s="89">
        <f>O98</f>
        <v>2118.6</v>
      </c>
      <c r="P97" s="100">
        <f>SUM(K97-O97)</f>
        <v>1504.63</v>
      </c>
      <c r="Q97" s="63">
        <f t="shared" si="33"/>
        <v>0.99896057347670253</v>
      </c>
      <c r="R97" s="63">
        <f t="shared" si="34"/>
        <v>0.99906258615936028</v>
      </c>
      <c r="S97" s="75">
        <f t="shared" si="35"/>
        <v>0.99896057347670253</v>
      </c>
    </row>
    <row r="98" spans="1:19" ht="12.75" thickBot="1" x14ac:dyDescent="0.25">
      <c r="A98" s="77" t="s">
        <v>127</v>
      </c>
      <c r="B98" s="59" t="s">
        <v>128</v>
      </c>
      <c r="C98" s="101">
        <v>0</v>
      </c>
      <c r="D98" s="101">
        <v>0</v>
      </c>
      <c r="E98" s="101">
        <v>0</v>
      </c>
      <c r="F98" s="101">
        <f>2122+1505</f>
        <v>3627</v>
      </c>
      <c r="G98" s="127">
        <f>SUM(E98+F98)</f>
        <v>3627</v>
      </c>
      <c r="H98" s="101">
        <f>2122+1505</f>
        <v>3627</v>
      </c>
      <c r="I98" s="101">
        <v>0</v>
      </c>
      <c r="J98" s="102">
        <f>2118.6+1505</f>
        <v>3623.6</v>
      </c>
      <c r="K98" s="103">
        <f>2118.6+1504.63</f>
        <v>3623.23</v>
      </c>
      <c r="L98" s="101">
        <f>SUM(H98-K98)</f>
        <v>3.7699999999999818</v>
      </c>
      <c r="M98" s="104">
        <v>0</v>
      </c>
      <c r="N98" s="101">
        <f>SUM(-I98+L98+M98)</f>
        <v>3.7699999999999818</v>
      </c>
      <c r="O98" s="105">
        <v>2118.6</v>
      </c>
      <c r="P98" s="62">
        <f>SUM(K98-O98)</f>
        <v>1504.63</v>
      </c>
      <c r="Q98" s="63">
        <f t="shared" si="33"/>
        <v>0.99896057347670253</v>
      </c>
      <c r="R98" s="63">
        <f t="shared" si="34"/>
        <v>0.99906258615936028</v>
      </c>
      <c r="S98" s="63">
        <f t="shared" si="35"/>
        <v>0.99896057347670253</v>
      </c>
    </row>
    <row r="99" spans="1:19" s="48" customFormat="1" ht="22.5" customHeight="1" thickBot="1" x14ac:dyDescent="0.25">
      <c r="A99" s="87">
        <v>3</v>
      </c>
      <c r="B99" s="88" t="s">
        <v>143</v>
      </c>
      <c r="C99" s="89">
        <v>0</v>
      </c>
      <c r="D99" s="89">
        <v>0</v>
      </c>
      <c r="E99" s="89">
        <v>0</v>
      </c>
      <c r="F99" s="90">
        <f>SUM(F100:F106)</f>
        <v>96373</v>
      </c>
      <c r="G99" s="90">
        <f>SUM(G100:G106)</f>
        <v>96373</v>
      </c>
      <c r="H99" s="90">
        <f>SUM(H100:H106)</f>
        <v>96373</v>
      </c>
      <c r="I99" s="106">
        <v>0</v>
      </c>
      <c r="J99" s="107">
        <f>SUM(J100:J106)</f>
        <v>81235.56</v>
      </c>
      <c r="K99" s="89">
        <f>SUM(K100:K106)</f>
        <v>81235.66</v>
      </c>
      <c r="L99" s="89">
        <f>SUM(L100:L106)</f>
        <v>15137.34</v>
      </c>
      <c r="M99" s="89">
        <v>0</v>
      </c>
      <c r="N99" s="90">
        <f>SUM(N100:N106)</f>
        <v>15137.34</v>
      </c>
      <c r="O99" s="90">
        <f>SUM(O100:O106)</f>
        <v>17913.52</v>
      </c>
      <c r="P99" s="90">
        <f>SUM(P100:P106)</f>
        <v>63322.14</v>
      </c>
      <c r="Q99" s="75">
        <f t="shared" si="33"/>
        <v>0.84292965872184122</v>
      </c>
      <c r="R99" s="79">
        <f t="shared" si="34"/>
        <v>0.84292862108681887</v>
      </c>
      <c r="S99" s="51">
        <f t="shared" si="35"/>
        <v>0.84292965872184122</v>
      </c>
    </row>
    <row r="100" spans="1:19" ht="12.75" thickBot="1" x14ac:dyDescent="0.25">
      <c r="A100" s="77" t="s">
        <v>144</v>
      </c>
      <c r="B100" s="108" t="s">
        <v>145</v>
      </c>
      <c r="C100" s="101">
        <v>0</v>
      </c>
      <c r="D100" s="101">
        <v>0</v>
      </c>
      <c r="E100" s="101">
        <v>0</v>
      </c>
      <c r="F100" s="101">
        <f>40000-2122-32000-2000</f>
        <v>3878</v>
      </c>
      <c r="G100" s="128">
        <f t="shared" ref="G100:G106" si="36">SUM(E100+F100)</f>
        <v>3878</v>
      </c>
      <c r="H100" s="101">
        <f>SUM(40000-2122-32000-2000)</f>
        <v>3878</v>
      </c>
      <c r="I100" s="101">
        <v>0</v>
      </c>
      <c r="J100" s="60">
        <f>745.37+299.95</f>
        <v>1045.32</v>
      </c>
      <c r="K100" s="93">
        <f>745.37+299.95</f>
        <v>1045.32</v>
      </c>
      <c r="L100" s="101">
        <f>SUM(H100-K100)</f>
        <v>2832.6800000000003</v>
      </c>
      <c r="M100" s="104">
        <f>SUM(G100-H100)</f>
        <v>0</v>
      </c>
      <c r="N100" s="101">
        <f>SUM(-I100+L100+M100)</f>
        <v>2832.6800000000003</v>
      </c>
      <c r="O100" s="105">
        <v>745.37</v>
      </c>
      <c r="P100" s="104">
        <f t="shared" ref="P100:P106" si="37">SUM(K100-O100)</f>
        <v>299.94999999999993</v>
      </c>
      <c r="Q100" s="109">
        <f t="shared" si="33"/>
        <v>0.26955131511088187</v>
      </c>
      <c r="R100" s="110">
        <f t="shared" si="34"/>
        <v>0.26955131511088187</v>
      </c>
      <c r="S100" s="110">
        <f t="shared" si="35"/>
        <v>0.26955131511088187</v>
      </c>
    </row>
    <row r="101" spans="1:19" x14ac:dyDescent="0.2">
      <c r="A101" s="58">
        <v>314</v>
      </c>
      <c r="B101" s="86" t="s">
        <v>146</v>
      </c>
      <c r="C101" s="60">
        <v>0</v>
      </c>
      <c r="D101" s="60">
        <v>0</v>
      </c>
      <c r="E101" s="60">
        <v>0</v>
      </c>
      <c r="F101" s="111">
        <v>0</v>
      </c>
      <c r="G101" s="128">
        <f t="shared" si="36"/>
        <v>0</v>
      </c>
      <c r="H101" s="111">
        <v>0</v>
      </c>
      <c r="I101" s="111"/>
      <c r="J101" s="60"/>
      <c r="K101" s="93"/>
      <c r="L101" s="111"/>
      <c r="M101" s="62"/>
      <c r="N101" s="111"/>
      <c r="O101" s="112"/>
      <c r="P101" s="62">
        <f t="shared" si="37"/>
        <v>0</v>
      </c>
      <c r="Q101" s="63">
        <v>0</v>
      </c>
      <c r="R101" s="113">
        <v>0</v>
      </c>
      <c r="S101" s="113">
        <v>0</v>
      </c>
    </row>
    <row r="102" spans="1:19" x14ac:dyDescent="0.2">
      <c r="A102" s="58">
        <v>320</v>
      </c>
      <c r="B102" s="86" t="s">
        <v>147</v>
      </c>
      <c r="C102" s="111">
        <v>0</v>
      </c>
      <c r="D102" s="111">
        <v>0</v>
      </c>
      <c r="E102" s="111">
        <v>0</v>
      </c>
      <c r="F102" s="111">
        <f>4000-2000</f>
        <v>2000</v>
      </c>
      <c r="G102" s="127">
        <f t="shared" si="36"/>
        <v>2000</v>
      </c>
      <c r="H102" s="111">
        <f>4000-2000</f>
        <v>2000</v>
      </c>
      <c r="I102" s="111">
        <v>0</v>
      </c>
      <c r="J102" s="60">
        <v>1904.5</v>
      </c>
      <c r="K102" s="93">
        <v>1904.6</v>
      </c>
      <c r="L102" s="111">
        <f>SUM(H102-K102)</f>
        <v>95.400000000000091</v>
      </c>
      <c r="M102" s="62">
        <f>SUM(G102-H102)</f>
        <v>0</v>
      </c>
      <c r="N102" s="111">
        <f>SUM(-I102+L102+M102)</f>
        <v>95.400000000000091</v>
      </c>
      <c r="O102" s="112">
        <v>0</v>
      </c>
      <c r="P102" s="62">
        <f t="shared" si="37"/>
        <v>1904.6</v>
      </c>
      <c r="Q102" s="63">
        <f>SUM(K102/H102*100%)</f>
        <v>0.95229999999999992</v>
      </c>
      <c r="R102" s="113">
        <f>SUM(J102/G102*100%)</f>
        <v>0.95225000000000004</v>
      </c>
      <c r="S102" s="113">
        <f>SUM(K102/G102*100%)</f>
        <v>0.95229999999999992</v>
      </c>
    </row>
    <row r="103" spans="1:19" x14ac:dyDescent="0.2">
      <c r="A103" s="58" t="s">
        <v>148</v>
      </c>
      <c r="B103" s="86" t="s">
        <v>149</v>
      </c>
      <c r="C103" s="111">
        <v>0</v>
      </c>
      <c r="D103" s="111">
        <v>0</v>
      </c>
      <c r="E103" s="111">
        <v>0</v>
      </c>
      <c r="F103" s="111">
        <f>8000-3500</f>
        <v>4500</v>
      </c>
      <c r="G103" s="127">
        <f t="shared" si="36"/>
        <v>4500</v>
      </c>
      <c r="H103" s="111">
        <f>8000-3500</f>
        <v>4500</v>
      </c>
      <c r="I103" s="111">
        <v>0</v>
      </c>
      <c r="J103" s="60">
        <v>0</v>
      </c>
      <c r="K103" s="93">
        <v>0</v>
      </c>
      <c r="L103" s="111">
        <f>SUM(H103-K103)</f>
        <v>4500</v>
      </c>
      <c r="M103" s="62">
        <f>SUM(G103-H103)</f>
        <v>0</v>
      </c>
      <c r="N103" s="111">
        <f>SUM(-I103+L103+M103)</f>
        <v>4500</v>
      </c>
      <c r="O103" s="112">
        <v>0</v>
      </c>
      <c r="P103" s="62">
        <f t="shared" si="37"/>
        <v>0</v>
      </c>
      <c r="Q103" s="63">
        <f>SUM(K103/H103*100%)</f>
        <v>0</v>
      </c>
      <c r="R103" s="113">
        <f>SUM(J103/G103*100%)</f>
        <v>0</v>
      </c>
      <c r="S103" s="113">
        <f>SUM(K103/G103*100%)</f>
        <v>0</v>
      </c>
    </row>
    <row r="104" spans="1:19" x14ac:dyDescent="0.2">
      <c r="A104" s="58" t="s">
        <v>150</v>
      </c>
      <c r="B104" s="86" t="s">
        <v>151</v>
      </c>
      <c r="C104" s="111">
        <v>0</v>
      </c>
      <c r="D104" s="111">
        <v>0</v>
      </c>
      <c r="E104" s="111">
        <v>0</v>
      </c>
      <c r="F104" s="111">
        <f>3000+15000</f>
        <v>18000</v>
      </c>
      <c r="G104" s="127">
        <f t="shared" si="36"/>
        <v>18000</v>
      </c>
      <c r="H104" s="111">
        <f>3000+15000</f>
        <v>18000</v>
      </c>
      <c r="I104" s="111">
        <v>0</v>
      </c>
      <c r="J104" s="60">
        <f>513.6+148.33+15301</f>
        <v>15962.93</v>
      </c>
      <c r="K104" s="93">
        <f>513.6+148.33+15301</f>
        <v>15962.93</v>
      </c>
      <c r="L104" s="111">
        <f>SUM(H104-K104)</f>
        <v>2037.0699999999997</v>
      </c>
      <c r="M104" s="62">
        <f>SUM(G104-H104)</f>
        <v>0</v>
      </c>
      <c r="N104" s="111">
        <f>SUM(-I104+L104+M104)</f>
        <v>2037.0699999999997</v>
      </c>
      <c r="O104" s="112">
        <v>513.6</v>
      </c>
      <c r="P104" s="62">
        <f t="shared" si="37"/>
        <v>15449.33</v>
      </c>
      <c r="Q104" s="63">
        <f>SUM(K104/H104*100%)</f>
        <v>0.88682944444444445</v>
      </c>
      <c r="R104" s="113">
        <f>SUM(J104/G104*100%)</f>
        <v>0.88682944444444445</v>
      </c>
      <c r="S104" s="113">
        <f>SUM(K104/G104*100%)</f>
        <v>0.88682944444444445</v>
      </c>
    </row>
    <row r="105" spans="1:19" x14ac:dyDescent="0.2">
      <c r="A105" s="58" t="s">
        <v>152</v>
      </c>
      <c r="B105" s="86" t="s">
        <v>143</v>
      </c>
      <c r="C105" s="111">
        <v>0</v>
      </c>
      <c r="D105" s="111">
        <v>0</v>
      </c>
      <c r="E105" s="111">
        <v>0</v>
      </c>
      <c r="F105" s="111">
        <f>5000+5500+1000</f>
        <v>11500</v>
      </c>
      <c r="G105" s="127">
        <f t="shared" si="36"/>
        <v>11500</v>
      </c>
      <c r="H105" s="111">
        <f>5000+5500+1000</f>
        <v>11500</v>
      </c>
      <c r="I105" s="111">
        <v>0</v>
      </c>
      <c r="J105" s="60">
        <f>9915.3+1118.15</f>
        <v>11033.449999999999</v>
      </c>
      <c r="K105" s="93">
        <f>9915.3+1118.15</f>
        <v>11033.449999999999</v>
      </c>
      <c r="L105" s="111">
        <f>SUM(H105-K105)</f>
        <v>466.55000000000109</v>
      </c>
      <c r="M105" s="62">
        <f>SUM(G105-H105)</f>
        <v>0</v>
      </c>
      <c r="N105" s="111">
        <f>SUM(-I105+L105+M105)</f>
        <v>466.55000000000109</v>
      </c>
      <c r="O105" s="112">
        <v>3975.05</v>
      </c>
      <c r="P105" s="62">
        <f t="shared" si="37"/>
        <v>7058.3999999999987</v>
      </c>
      <c r="Q105" s="63">
        <f>SUM(K105/H105*100%)</f>
        <v>0.95943043478260859</v>
      </c>
      <c r="R105" s="113">
        <f>SUM(J105/G105*100%)</f>
        <v>0.95943043478260859</v>
      </c>
      <c r="S105" s="113">
        <f>SUM(K105/G105*100%)</f>
        <v>0.95943043478260859</v>
      </c>
    </row>
    <row r="106" spans="1:19" ht="12.75" thickBot="1" x14ac:dyDescent="0.25">
      <c r="A106" s="114">
        <v>380</v>
      </c>
      <c r="B106" s="115" t="s">
        <v>153</v>
      </c>
      <c r="C106" s="116">
        <v>0</v>
      </c>
      <c r="D106" s="116">
        <v>0</v>
      </c>
      <c r="E106" s="116">
        <v>0</v>
      </c>
      <c r="F106" s="116">
        <f>40000+30000-13505</f>
        <v>56495</v>
      </c>
      <c r="G106" s="129">
        <f t="shared" si="36"/>
        <v>56495</v>
      </c>
      <c r="H106" s="116">
        <f>40000+30000-13505</f>
        <v>56495</v>
      </c>
      <c r="I106" s="116">
        <v>0</v>
      </c>
      <c r="J106" s="117">
        <f>23309.95+15836+1107.4+11036.01</f>
        <v>51289.36</v>
      </c>
      <c r="K106" s="118">
        <f>26466.45+12679.5+1107.4+11036.01</f>
        <v>51289.36</v>
      </c>
      <c r="L106" s="116">
        <f>SUM(H106-K106)</f>
        <v>5205.6399999999994</v>
      </c>
      <c r="M106" s="119">
        <f>SUM(G106-H106)</f>
        <v>0</v>
      </c>
      <c r="N106" s="116">
        <f>SUM(-I106+L106+M106)</f>
        <v>5205.6399999999994</v>
      </c>
      <c r="O106" s="120">
        <v>12679.5</v>
      </c>
      <c r="P106" s="119">
        <f t="shared" si="37"/>
        <v>38609.86</v>
      </c>
      <c r="Q106" s="121">
        <f>SUM(K106/H106*100%)</f>
        <v>0.90785662448004245</v>
      </c>
      <c r="R106" s="122">
        <f>SUM(J106/G106*100%)</f>
        <v>0.90785662448004245</v>
      </c>
      <c r="S106" s="122">
        <f>SUM(K106/G106*100%)</f>
        <v>0.90785662448004245</v>
      </c>
    </row>
    <row r="107" spans="1:19" x14ac:dyDescent="0.2">
      <c r="Q107" s="49"/>
    </row>
  </sheetData>
  <mergeCells count="6">
    <mergeCell ref="A7:B7"/>
    <mergeCell ref="A1:S1"/>
    <mergeCell ref="A2:S2"/>
    <mergeCell ref="A3:S3"/>
    <mergeCell ref="A4:S4"/>
    <mergeCell ref="A5:S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Copia de OBJETO  DE GASTOS DE A</vt:lpstr>
      <vt:lpstr>Hoja2</vt:lpstr>
      <vt:lpstr>EJECUCION 8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de Gantes</dc:creator>
  <cp:lastModifiedBy>Juan Pablo Rodriguez</cp:lastModifiedBy>
  <cp:lastPrinted>2021-09-06T14:25:43Z</cp:lastPrinted>
  <dcterms:created xsi:type="dcterms:W3CDTF">2021-09-06T13:55:54Z</dcterms:created>
  <dcterms:modified xsi:type="dcterms:W3CDTF">2021-10-07T13:45:32Z</dcterms:modified>
</cp:coreProperties>
</file>