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rodriguez/Desktop/"/>
    </mc:Choice>
  </mc:AlternateContent>
  <xr:revisionPtr revIDLastSave="0" documentId="8_{61D7790C-39B2-F542-BC80-88DA3B19D771}" xr6:coauthVersionLast="46" xr6:coauthVersionMax="46" xr10:uidLastSave="{00000000-0000-0000-0000-000000000000}"/>
  <bookViews>
    <workbookView xWindow="0" yWindow="460" windowWidth="15340" windowHeight="6920" xr2:uid="{00000000-000D-0000-FFFF-FFFF00000000}"/>
  </bookViews>
  <sheets>
    <sheet name="Ejecucion de septiembre 2021 7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9" i="1" l="1"/>
  <c r="P109" i="1" s="1"/>
  <c r="J109" i="1"/>
  <c r="H109" i="1"/>
  <c r="L109" i="1" s="1"/>
  <c r="F109" i="1"/>
  <c r="G109" i="1" s="1"/>
  <c r="R109" i="1" s="1"/>
  <c r="P108" i="1"/>
  <c r="O108" i="1"/>
  <c r="K108" i="1"/>
  <c r="J108" i="1"/>
  <c r="R108" i="1" s="1"/>
  <c r="H108" i="1"/>
  <c r="L108" i="1" s="1"/>
  <c r="F108" i="1"/>
  <c r="G108" i="1" s="1"/>
  <c r="M108" i="1" s="1"/>
  <c r="O107" i="1"/>
  <c r="O102" i="1" s="1"/>
  <c r="K107" i="1"/>
  <c r="J107" i="1"/>
  <c r="H107" i="1"/>
  <c r="F107" i="1"/>
  <c r="P106" i="1"/>
  <c r="H106" i="1"/>
  <c r="Q106" i="1" s="1"/>
  <c r="F106" i="1"/>
  <c r="G106" i="1" s="1"/>
  <c r="Q105" i="1"/>
  <c r="P105" i="1"/>
  <c r="J105" i="1"/>
  <c r="H105" i="1"/>
  <c r="L105" i="1" s="1"/>
  <c r="F105" i="1"/>
  <c r="G105" i="1" s="1"/>
  <c r="S105" i="1" s="1"/>
  <c r="P104" i="1"/>
  <c r="G104" i="1"/>
  <c r="P103" i="1"/>
  <c r="K103" i="1"/>
  <c r="J103" i="1"/>
  <c r="R103" i="1" s="1"/>
  <c r="H103" i="1"/>
  <c r="G103" i="1"/>
  <c r="F103" i="1"/>
  <c r="K102" i="1"/>
  <c r="K101" i="1"/>
  <c r="Q101" i="1" s="1"/>
  <c r="J101" i="1"/>
  <c r="J100" i="1" s="1"/>
  <c r="H101" i="1"/>
  <c r="H100" i="1" s="1"/>
  <c r="F101" i="1"/>
  <c r="O100" i="1"/>
  <c r="O99" i="1" s="1"/>
  <c r="R98" i="1"/>
  <c r="Q98" i="1"/>
  <c r="P98" i="1"/>
  <c r="M98" i="1"/>
  <c r="L98" i="1"/>
  <c r="N98" i="1" s="1"/>
  <c r="G98" i="1"/>
  <c r="S98" i="1" s="1"/>
  <c r="K97" i="1"/>
  <c r="J97" i="1"/>
  <c r="R97" i="1" s="1"/>
  <c r="H97" i="1"/>
  <c r="G97" i="1"/>
  <c r="F97" i="1"/>
  <c r="F93" i="1" s="1"/>
  <c r="Q96" i="1"/>
  <c r="P96" i="1"/>
  <c r="L96" i="1"/>
  <c r="G96" i="1"/>
  <c r="S96" i="1" s="1"/>
  <c r="P95" i="1"/>
  <c r="P93" i="1" s="1"/>
  <c r="K95" i="1"/>
  <c r="J95" i="1"/>
  <c r="R95" i="1" s="1"/>
  <c r="H95" i="1"/>
  <c r="G95" i="1"/>
  <c r="F95" i="1"/>
  <c r="P94" i="1"/>
  <c r="K94" i="1"/>
  <c r="H94" i="1"/>
  <c r="F94" i="1"/>
  <c r="O93" i="1"/>
  <c r="I93" i="1"/>
  <c r="G93" i="1"/>
  <c r="E93" i="1"/>
  <c r="D93" i="1"/>
  <c r="C93" i="1"/>
  <c r="P92" i="1"/>
  <c r="M92" i="1"/>
  <c r="L92" i="1"/>
  <c r="N92" i="1" s="1"/>
  <c r="P91" i="1"/>
  <c r="L91" i="1"/>
  <c r="H91" i="1"/>
  <c r="Q91" i="1" s="1"/>
  <c r="G91" i="1"/>
  <c r="R91" i="1" s="1"/>
  <c r="F91" i="1"/>
  <c r="Q90" i="1"/>
  <c r="P90" i="1"/>
  <c r="L90" i="1"/>
  <c r="G90" i="1"/>
  <c r="S90" i="1" s="1"/>
  <c r="P89" i="1"/>
  <c r="M89" i="1"/>
  <c r="L89" i="1"/>
  <c r="P88" i="1"/>
  <c r="M88" i="1"/>
  <c r="L88" i="1"/>
  <c r="S87" i="1"/>
  <c r="P87" i="1"/>
  <c r="J87" i="1"/>
  <c r="R87" i="1" s="1"/>
  <c r="H87" i="1"/>
  <c r="L87" i="1" s="1"/>
  <c r="N87" i="1" s="1"/>
  <c r="G87" i="1"/>
  <c r="F87" i="1"/>
  <c r="Q86" i="1"/>
  <c r="L86" i="1"/>
  <c r="K86" i="1"/>
  <c r="P86" i="1" s="1"/>
  <c r="G86" i="1"/>
  <c r="M86" i="1" s="1"/>
  <c r="O85" i="1"/>
  <c r="K85" i="1"/>
  <c r="Q85" i="1" s="1"/>
  <c r="I85" i="1"/>
  <c r="H85" i="1"/>
  <c r="F85" i="1"/>
  <c r="E85" i="1"/>
  <c r="D85" i="1"/>
  <c r="C85" i="1"/>
  <c r="K84" i="1"/>
  <c r="P84" i="1" s="1"/>
  <c r="J84" i="1"/>
  <c r="G84" i="1"/>
  <c r="M84" i="1" s="1"/>
  <c r="L83" i="1"/>
  <c r="K83" i="1"/>
  <c r="P83" i="1" s="1"/>
  <c r="J83" i="1"/>
  <c r="G83" i="1"/>
  <c r="O82" i="1"/>
  <c r="K82" i="1"/>
  <c r="Q82" i="1" s="1"/>
  <c r="J82" i="1"/>
  <c r="H82" i="1"/>
  <c r="F82" i="1"/>
  <c r="G82" i="1" s="1"/>
  <c r="S82" i="1" s="1"/>
  <c r="K81" i="1"/>
  <c r="L81" i="1" s="1"/>
  <c r="J81" i="1"/>
  <c r="H81" i="1"/>
  <c r="F81" i="1"/>
  <c r="G81" i="1" s="1"/>
  <c r="M81" i="1" s="1"/>
  <c r="O80" i="1"/>
  <c r="K80" i="1"/>
  <c r="P80" i="1" s="1"/>
  <c r="J80" i="1"/>
  <c r="H80" i="1"/>
  <c r="Q80" i="1" s="1"/>
  <c r="F80" i="1"/>
  <c r="G80" i="1" s="1"/>
  <c r="M80" i="1" s="1"/>
  <c r="O79" i="1"/>
  <c r="K79" i="1"/>
  <c r="J79" i="1"/>
  <c r="H79" i="1"/>
  <c r="Q79" i="1" s="1"/>
  <c r="F79" i="1"/>
  <c r="G79" i="1" s="1"/>
  <c r="M79" i="1" s="1"/>
  <c r="P78" i="1"/>
  <c r="H78" i="1"/>
  <c r="F78" i="1"/>
  <c r="G78" i="1" s="1"/>
  <c r="R77" i="1"/>
  <c r="O77" i="1"/>
  <c r="K77" i="1"/>
  <c r="J77" i="1"/>
  <c r="H77" i="1"/>
  <c r="G77" i="1"/>
  <c r="F77" i="1"/>
  <c r="R76" i="1"/>
  <c r="O76" i="1"/>
  <c r="K76" i="1"/>
  <c r="J76" i="1"/>
  <c r="H76" i="1"/>
  <c r="L76" i="1" s="1"/>
  <c r="F76" i="1"/>
  <c r="G76" i="1" s="1"/>
  <c r="P75" i="1"/>
  <c r="K75" i="1"/>
  <c r="J75" i="1"/>
  <c r="R75" i="1" s="1"/>
  <c r="H75" i="1"/>
  <c r="F75" i="1"/>
  <c r="G75" i="1" s="1"/>
  <c r="P74" i="1"/>
  <c r="M74" i="1"/>
  <c r="K74" i="1"/>
  <c r="J74" i="1"/>
  <c r="R74" i="1" s="1"/>
  <c r="G74" i="1"/>
  <c r="O73" i="1"/>
  <c r="K73" i="1"/>
  <c r="P73" i="1" s="1"/>
  <c r="J73" i="1"/>
  <c r="H73" i="1"/>
  <c r="L73" i="1" s="1"/>
  <c r="G73" i="1"/>
  <c r="P72" i="1"/>
  <c r="O72" i="1"/>
  <c r="L72" i="1"/>
  <c r="K72" i="1"/>
  <c r="J72" i="1"/>
  <c r="H72" i="1"/>
  <c r="G72" i="1"/>
  <c r="M72" i="1" s="1"/>
  <c r="F72" i="1"/>
  <c r="O71" i="1"/>
  <c r="K71" i="1"/>
  <c r="J71" i="1"/>
  <c r="H71" i="1"/>
  <c r="F71" i="1"/>
  <c r="G71" i="1" s="1"/>
  <c r="M71" i="1" s="1"/>
  <c r="O70" i="1"/>
  <c r="K70" i="1"/>
  <c r="Q70" i="1" s="1"/>
  <c r="J70" i="1"/>
  <c r="R70" i="1" s="1"/>
  <c r="H70" i="1"/>
  <c r="L70" i="1" s="1"/>
  <c r="G70" i="1"/>
  <c r="S69" i="1"/>
  <c r="K69" i="1"/>
  <c r="P69" i="1" s="1"/>
  <c r="J69" i="1"/>
  <c r="R69" i="1" s="1"/>
  <c r="H69" i="1"/>
  <c r="G69" i="1"/>
  <c r="R68" i="1"/>
  <c r="K68" i="1"/>
  <c r="Q68" i="1" s="1"/>
  <c r="J68" i="1"/>
  <c r="H68" i="1"/>
  <c r="G68" i="1"/>
  <c r="O67" i="1"/>
  <c r="K67" i="1"/>
  <c r="J67" i="1"/>
  <c r="H67" i="1"/>
  <c r="F67" i="1"/>
  <c r="G67" i="1" s="1"/>
  <c r="H66" i="1"/>
  <c r="Q66" i="1" s="1"/>
  <c r="G66" i="1"/>
  <c r="R66" i="1" s="1"/>
  <c r="F66" i="1"/>
  <c r="R65" i="1"/>
  <c r="O65" i="1"/>
  <c r="K65" i="1"/>
  <c r="Q65" i="1" s="1"/>
  <c r="J65" i="1"/>
  <c r="H65" i="1"/>
  <c r="G65" i="1"/>
  <c r="M65" i="1" s="1"/>
  <c r="O64" i="1"/>
  <c r="K64" i="1"/>
  <c r="S64" i="1" s="1"/>
  <c r="J64" i="1"/>
  <c r="H64" i="1"/>
  <c r="F64" i="1"/>
  <c r="G64" i="1" s="1"/>
  <c r="P63" i="1"/>
  <c r="J63" i="1"/>
  <c r="H63" i="1"/>
  <c r="F63" i="1"/>
  <c r="G63" i="1" s="1"/>
  <c r="S63" i="1" s="1"/>
  <c r="O62" i="1"/>
  <c r="K62" i="1"/>
  <c r="J62" i="1"/>
  <c r="R62" i="1" s="1"/>
  <c r="H62" i="1"/>
  <c r="G62" i="1"/>
  <c r="M62" i="1" s="1"/>
  <c r="F62" i="1"/>
  <c r="Q61" i="1"/>
  <c r="K61" i="1"/>
  <c r="P61" i="1" s="1"/>
  <c r="H61" i="1"/>
  <c r="L61" i="1" s="1"/>
  <c r="F61" i="1"/>
  <c r="O60" i="1"/>
  <c r="K60" i="1"/>
  <c r="S60" i="1" s="1"/>
  <c r="J60" i="1"/>
  <c r="H60" i="1"/>
  <c r="G60" i="1"/>
  <c r="M60" i="1" s="1"/>
  <c r="O59" i="1"/>
  <c r="K59" i="1"/>
  <c r="J59" i="1"/>
  <c r="H59" i="1"/>
  <c r="L59" i="1" s="1"/>
  <c r="F59" i="1"/>
  <c r="G59" i="1" s="1"/>
  <c r="M59" i="1" s="1"/>
  <c r="O58" i="1"/>
  <c r="K58" i="1"/>
  <c r="J58" i="1"/>
  <c r="R58" i="1" s="1"/>
  <c r="H58" i="1"/>
  <c r="F58" i="1"/>
  <c r="G58" i="1" s="1"/>
  <c r="Q57" i="1"/>
  <c r="P57" i="1"/>
  <c r="L57" i="1"/>
  <c r="N57" i="1" s="1"/>
  <c r="G57" i="1"/>
  <c r="S57" i="1" s="1"/>
  <c r="Q56" i="1"/>
  <c r="L56" i="1"/>
  <c r="K56" i="1"/>
  <c r="P56" i="1" s="1"/>
  <c r="J56" i="1"/>
  <c r="G56" i="1"/>
  <c r="P55" i="1"/>
  <c r="H55" i="1"/>
  <c r="G55" i="1"/>
  <c r="F55" i="1"/>
  <c r="L54" i="1"/>
  <c r="K54" i="1"/>
  <c r="P54" i="1" s="1"/>
  <c r="J54" i="1"/>
  <c r="R54" i="1" s="1"/>
  <c r="H54" i="1"/>
  <c r="G54" i="1"/>
  <c r="M54" i="1" s="1"/>
  <c r="F54" i="1"/>
  <c r="R53" i="1"/>
  <c r="O53" i="1"/>
  <c r="K53" i="1"/>
  <c r="P53" i="1" s="1"/>
  <c r="J53" i="1"/>
  <c r="G53" i="1"/>
  <c r="I52" i="1"/>
  <c r="E52" i="1"/>
  <c r="D52" i="1"/>
  <c r="C52" i="1"/>
  <c r="Q51" i="1"/>
  <c r="K51" i="1"/>
  <c r="J51" i="1"/>
  <c r="G51" i="1"/>
  <c r="M51" i="1" s="1"/>
  <c r="K50" i="1"/>
  <c r="P50" i="1" s="1"/>
  <c r="J50" i="1"/>
  <c r="R50" i="1" s="1"/>
  <c r="H50" i="1"/>
  <c r="G50" i="1"/>
  <c r="M50" i="1" s="1"/>
  <c r="F50" i="1"/>
  <c r="L49" i="1"/>
  <c r="K49" i="1"/>
  <c r="P49" i="1" s="1"/>
  <c r="J49" i="1"/>
  <c r="R49" i="1" s="1"/>
  <c r="G49" i="1"/>
  <c r="Q48" i="1"/>
  <c r="P48" i="1"/>
  <c r="L48" i="1"/>
  <c r="G48" i="1"/>
  <c r="P47" i="1"/>
  <c r="H47" i="1"/>
  <c r="L47" i="1" s="1"/>
  <c r="G47" i="1"/>
  <c r="F47" i="1"/>
  <c r="K46" i="1"/>
  <c r="P46" i="1" s="1"/>
  <c r="J46" i="1"/>
  <c r="H46" i="1"/>
  <c r="L46" i="1" s="1"/>
  <c r="F46" i="1"/>
  <c r="G46" i="1" s="1"/>
  <c r="S46" i="1" s="1"/>
  <c r="O45" i="1"/>
  <c r="K45" i="1"/>
  <c r="S45" i="1" s="1"/>
  <c r="J45" i="1"/>
  <c r="R45" i="1" s="1"/>
  <c r="H45" i="1"/>
  <c r="F45" i="1"/>
  <c r="G45" i="1" s="1"/>
  <c r="M45" i="1" s="1"/>
  <c r="O44" i="1"/>
  <c r="P44" i="1" s="1"/>
  <c r="H44" i="1"/>
  <c r="G44" i="1"/>
  <c r="R44" i="1" s="1"/>
  <c r="P43" i="1"/>
  <c r="O43" i="1"/>
  <c r="L43" i="1"/>
  <c r="K43" i="1"/>
  <c r="Q43" i="1" s="1"/>
  <c r="H43" i="1"/>
  <c r="F43" i="1"/>
  <c r="G43" i="1" s="1"/>
  <c r="Q42" i="1"/>
  <c r="P42" i="1"/>
  <c r="L42" i="1"/>
  <c r="N42" i="1" s="1"/>
  <c r="G42" i="1"/>
  <c r="S42" i="1" s="1"/>
  <c r="O41" i="1"/>
  <c r="K41" i="1"/>
  <c r="J41" i="1"/>
  <c r="H41" i="1"/>
  <c r="L41" i="1" s="1"/>
  <c r="F41" i="1"/>
  <c r="G41" i="1" s="1"/>
  <c r="M41" i="1" s="1"/>
  <c r="O40" i="1"/>
  <c r="K40" i="1"/>
  <c r="J40" i="1"/>
  <c r="R40" i="1" s="1"/>
  <c r="H40" i="1"/>
  <c r="F40" i="1"/>
  <c r="G40" i="1" s="1"/>
  <c r="K39" i="1"/>
  <c r="P39" i="1" s="1"/>
  <c r="J39" i="1"/>
  <c r="H39" i="1"/>
  <c r="F39" i="1"/>
  <c r="G39" i="1" s="1"/>
  <c r="K38" i="1"/>
  <c r="Q38" i="1" s="1"/>
  <c r="J38" i="1"/>
  <c r="R38" i="1" s="1"/>
  <c r="H38" i="1"/>
  <c r="G38" i="1"/>
  <c r="M38" i="1" s="1"/>
  <c r="P37" i="1"/>
  <c r="N37" i="1"/>
  <c r="H37" i="1"/>
  <c r="L37" i="1" s="1"/>
  <c r="G37" i="1"/>
  <c r="M37" i="1" s="1"/>
  <c r="F37" i="1"/>
  <c r="O36" i="1"/>
  <c r="K36" i="1"/>
  <c r="P36" i="1" s="1"/>
  <c r="J36" i="1"/>
  <c r="R36" i="1" s="1"/>
  <c r="H36" i="1"/>
  <c r="L36" i="1" s="1"/>
  <c r="F36" i="1"/>
  <c r="G36" i="1" s="1"/>
  <c r="K35" i="1"/>
  <c r="H35" i="1"/>
  <c r="L35" i="1" s="1"/>
  <c r="F35" i="1"/>
  <c r="G35" i="1" s="1"/>
  <c r="O34" i="1"/>
  <c r="K34" i="1"/>
  <c r="P34" i="1" s="1"/>
  <c r="J34" i="1"/>
  <c r="H34" i="1"/>
  <c r="F34" i="1"/>
  <c r="G34" i="1" s="1"/>
  <c r="K33" i="1"/>
  <c r="Q33" i="1" s="1"/>
  <c r="H33" i="1"/>
  <c r="G33" i="1"/>
  <c r="P32" i="1"/>
  <c r="H32" i="1"/>
  <c r="G32" i="1"/>
  <c r="S32" i="1" s="1"/>
  <c r="L31" i="1"/>
  <c r="K31" i="1"/>
  <c r="P31" i="1" s="1"/>
  <c r="J31" i="1"/>
  <c r="H31" i="1"/>
  <c r="Q31" i="1" s="1"/>
  <c r="G31" i="1"/>
  <c r="F31" i="1"/>
  <c r="O30" i="1"/>
  <c r="K30" i="1"/>
  <c r="H30" i="1"/>
  <c r="L30" i="1" s="1"/>
  <c r="F30" i="1"/>
  <c r="G30" i="1" s="1"/>
  <c r="E30" i="1"/>
  <c r="O29" i="1"/>
  <c r="P29" i="1" s="1"/>
  <c r="J29" i="1"/>
  <c r="H29" i="1"/>
  <c r="F29" i="1"/>
  <c r="E29" i="1"/>
  <c r="O28" i="1"/>
  <c r="K28" i="1"/>
  <c r="J28" i="1"/>
  <c r="H28" i="1"/>
  <c r="F28" i="1"/>
  <c r="G28" i="1" s="1"/>
  <c r="M28" i="1" s="1"/>
  <c r="E28" i="1"/>
  <c r="O27" i="1"/>
  <c r="K27" i="1"/>
  <c r="P27" i="1" s="1"/>
  <c r="J27" i="1"/>
  <c r="H27" i="1"/>
  <c r="F27" i="1"/>
  <c r="E27" i="1"/>
  <c r="G27" i="1" s="1"/>
  <c r="M27" i="1" s="1"/>
  <c r="Q26" i="1"/>
  <c r="P26" i="1"/>
  <c r="L26" i="1"/>
  <c r="G26" i="1"/>
  <c r="R26" i="1" s="1"/>
  <c r="P25" i="1"/>
  <c r="H25" i="1"/>
  <c r="Q25" i="1" s="1"/>
  <c r="G25" i="1"/>
  <c r="S25" i="1" s="1"/>
  <c r="K24" i="1"/>
  <c r="J24" i="1"/>
  <c r="H24" i="1"/>
  <c r="G24" i="1"/>
  <c r="R24" i="1" s="1"/>
  <c r="P23" i="1"/>
  <c r="H23" i="1"/>
  <c r="Q23" i="1" s="1"/>
  <c r="G23" i="1"/>
  <c r="P22" i="1"/>
  <c r="O22" i="1"/>
  <c r="L22" i="1"/>
  <c r="K22" i="1"/>
  <c r="J22" i="1"/>
  <c r="R22" i="1" s="1"/>
  <c r="H22" i="1"/>
  <c r="G22" i="1"/>
  <c r="M22" i="1" s="1"/>
  <c r="F22" i="1"/>
  <c r="O21" i="1"/>
  <c r="K21" i="1"/>
  <c r="J21" i="1"/>
  <c r="H21" i="1"/>
  <c r="F21" i="1"/>
  <c r="G21" i="1" s="1"/>
  <c r="I20" i="1"/>
  <c r="D20" i="1"/>
  <c r="C20" i="1"/>
  <c r="C8" i="1" s="1"/>
  <c r="C7" i="1" s="1"/>
  <c r="O19" i="1"/>
  <c r="P19" i="1" s="1"/>
  <c r="L19" i="1"/>
  <c r="J19" i="1"/>
  <c r="H19" i="1"/>
  <c r="Q19" i="1" s="1"/>
  <c r="G19" i="1"/>
  <c r="P18" i="1"/>
  <c r="H18" i="1"/>
  <c r="Q18" i="1" s="1"/>
  <c r="G18" i="1"/>
  <c r="S18" i="1" s="1"/>
  <c r="S17" i="1"/>
  <c r="O17" i="1"/>
  <c r="P17" i="1" s="1"/>
  <c r="J17" i="1"/>
  <c r="R17" i="1" s="1"/>
  <c r="H17" i="1"/>
  <c r="L17" i="1" s="1"/>
  <c r="G17" i="1"/>
  <c r="O16" i="1"/>
  <c r="K16" i="1"/>
  <c r="J16" i="1"/>
  <c r="R16" i="1" s="1"/>
  <c r="H16" i="1"/>
  <c r="F16" i="1"/>
  <c r="G16" i="1" s="1"/>
  <c r="M16" i="1" s="1"/>
  <c r="O15" i="1"/>
  <c r="K15" i="1"/>
  <c r="Q15" i="1" s="1"/>
  <c r="J15" i="1"/>
  <c r="H15" i="1"/>
  <c r="F15" i="1"/>
  <c r="G15" i="1" s="1"/>
  <c r="P14" i="1"/>
  <c r="O14" i="1"/>
  <c r="K14" i="1"/>
  <c r="J14" i="1"/>
  <c r="H14" i="1"/>
  <c r="Q14" i="1" s="1"/>
  <c r="F14" i="1"/>
  <c r="G14" i="1" s="1"/>
  <c r="O13" i="1"/>
  <c r="K13" i="1"/>
  <c r="J13" i="1"/>
  <c r="H13" i="1"/>
  <c r="L13" i="1" s="1"/>
  <c r="F13" i="1"/>
  <c r="G13" i="1" s="1"/>
  <c r="R13" i="1" s="1"/>
  <c r="O12" i="1"/>
  <c r="K12" i="1"/>
  <c r="J12" i="1"/>
  <c r="H12" i="1"/>
  <c r="F12" i="1"/>
  <c r="G12" i="1" s="1"/>
  <c r="O11" i="1"/>
  <c r="K11" i="1"/>
  <c r="Q11" i="1" s="1"/>
  <c r="J11" i="1"/>
  <c r="H11" i="1"/>
  <c r="G11" i="1"/>
  <c r="M11" i="1" s="1"/>
  <c r="O10" i="1"/>
  <c r="K10" i="1"/>
  <c r="J10" i="1"/>
  <c r="H10" i="1"/>
  <c r="F10" i="1"/>
  <c r="I9" i="1"/>
  <c r="E9" i="1"/>
  <c r="D9" i="1"/>
  <c r="D8" i="1" s="1"/>
  <c r="D7" i="1" s="1"/>
  <c r="C9" i="1"/>
  <c r="I8" i="1"/>
  <c r="I7" i="1" s="1"/>
  <c r="S35" i="1" l="1"/>
  <c r="M35" i="1"/>
  <c r="S67" i="1"/>
  <c r="M67" i="1"/>
  <c r="R30" i="1"/>
  <c r="M30" i="1"/>
  <c r="N30" i="1" s="1"/>
  <c r="S58" i="1"/>
  <c r="S84" i="1"/>
  <c r="F9" i="1"/>
  <c r="Q13" i="1"/>
  <c r="R14" i="1"/>
  <c r="M15" i="1"/>
  <c r="M19" i="1"/>
  <c r="N19" i="1" s="1"/>
  <c r="S22" i="1"/>
  <c r="G29" i="1"/>
  <c r="R29" i="1" s="1"/>
  <c r="R32" i="1"/>
  <c r="M34" i="1"/>
  <c r="N34" i="1" s="1"/>
  <c r="Q35" i="1"/>
  <c r="S44" i="1"/>
  <c r="R51" i="1"/>
  <c r="K52" i="1"/>
  <c r="Q52" i="1" s="1"/>
  <c r="L53" i="1"/>
  <c r="P62" i="1"/>
  <c r="M64" i="1"/>
  <c r="O52" i="1"/>
  <c r="M70" i="1"/>
  <c r="N70" i="1" s="1"/>
  <c r="S72" i="1"/>
  <c r="M73" i="1"/>
  <c r="S77" i="1"/>
  <c r="M78" i="1"/>
  <c r="R80" i="1"/>
  <c r="N81" i="1"/>
  <c r="R84" i="1"/>
  <c r="N89" i="1"/>
  <c r="M91" i="1"/>
  <c r="Q97" i="1"/>
  <c r="Q17" i="1"/>
  <c r="O20" i="1"/>
  <c r="Q36" i="1"/>
  <c r="S59" i="1"/>
  <c r="Q59" i="1"/>
  <c r="Q30" i="1"/>
  <c r="S33" i="1"/>
  <c r="S38" i="1"/>
  <c r="S51" i="1"/>
  <c r="P58" i="1"/>
  <c r="L64" i="1"/>
  <c r="L68" i="1"/>
  <c r="N68" i="1" s="1"/>
  <c r="R71" i="1"/>
  <c r="R79" i="1"/>
  <c r="S80" i="1"/>
  <c r="L106" i="1"/>
  <c r="L107" i="1"/>
  <c r="S108" i="1"/>
  <c r="Q108" i="1"/>
  <c r="Q73" i="1"/>
  <c r="S14" i="1"/>
  <c r="R21" i="1"/>
  <c r="L27" i="1"/>
  <c r="N27" i="1" s="1"/>
  <c r="L34" i="1"/>
  <c r="Q40" i="1"/>
  <c r="Q46" i="1"/>
  <c r="R57" i="1"/>
  <c r="P67" i="1"/>
  <c r="M12" i="1"/>
  <c r="P13" i="1"/>
  <c r="M17" i="1"/>
  <c r="N17" i="1" s="1"/>
  <c r="R19" i="1"/>
  <c r="S19" i="1"/>
  <c r="J20" i="1"/>
  <c r="P21" i="1"/>
  <c r="Q22" i="1"/>
  <c r="S26" i="1"/>
  <c r="R27" i="1"/>
  <c r="P30" i="1"/>
  <c r="L33" i="1"/>
  <c r="M36" i="1"/>
  <c r="M39" i="1"/>
  <c r="M40" i="1"/>
  <c r="P41" i="1"/>
  <c r="L45" i="1"/>
  <c r="N45" i="1" s="1"/>
  <c r="R46" i="1"/>
  <c r="S49" i="1"/>
  <c r="Q49" i="1"/>
  <c r="S50" i="1"/>
  <c r="P51" i="1"/>
  <c r="Q53" i="1"/>
  <c r="Q54" i="1"/>
  <c r="R59" i="1"/>
  <c r="P59" i="1"/>
  <c r="R60" i="1"/>
  <c r="P60" i="1"/>
  <c r="L62" i="1"/>
  <c r="N62" i="1" s="1"/>
  <c r="R63" i="1"/>
  <c r="R64" i="1"/>
  <c r="Q72" i="1"/>
  <c r="L75" i="1"/>
  <c r="M76" i="1"/>
  <c r="P77" i="1"/>
  <c r="L80" i="1"/>
  <c r="L82" i="1"/>
  <c r="Q83" i="1"/>
  <c r="Q84" i="1"/>
  <c r="J85" i="1"/>
  <c r="J93" i="1"/>
  <c r="R93" i="1" s="1"/>
  <c r="N91" i="1"/>
  <c r="P85" i="1"/>
  <c r="K93" i="1"/>
  <c r="S93" i="1" s="1"/>
  <c r="K9" i="1"/>
  <c r="Q10" i="1"/>
  <c r="S11" i="1"/>
  <c r="S15" i="1"/>
  <c r="L21" i="1"/>
  <c r="H20" i="1"/>
  <c r="Q44" i="1"/>
  <c r="L44" i="1"/>
  <c r="R56" i="1"/>
  <c r="L11" i="1"/>
  <c r="N11" i="1" s="1"/>
  <c r="Q21" i="1"/>
  <c r="S28" i="1"/>
  <c r="H9" i="1"/>
  <c r="H8" i="1" s="1"/>
  <c r="O9" i="1"/>
  <c r="R18" i="1"/>
  <c r="F20" i="1"/>
  <c r="R23" i="1"/>
  <c r="M23" i="1"/>
  <c r="S23" i="1"/>
  <c r="S24" i="1"/>
  <c r="Q24" i="1"/>
  <c r="L24" i="1"/>
  <c r="K20" i="1"/>
  <c r="Q27" i="1"/>
  <c r="R28" i="1"/>
  <c r="M29" i="1"/>
  <c r="S29" i="1"/>
  <c r="R31" i="1"/>
  <c r="S31" i="1"/>
  <c r="M31" i="1"/>
  <c r="N31" i="1"/>
  <c r="N35" i="1"/>
  <c r="R39" i="1"/>
  <c r="N41" i="1"/>
  <c r="Q55" i="1"/>
  <c r="L55" i="1"/>
  <c r="H52" i="1"/>
  <c r="L58" i="1"/>
  <c r="Q58" i="1"/>
  <c r="M58" i="1"/>
  <c r="L67" i="1"/>
  <c r="Q67" i="1"/>
  <c r="N76" i="1"/>
  <c r="Q12" i="1"/>
  <c r="P12" i="1"/>
  <c r="L12" i="1"/>
  <c r="N12" i="1" s="1"/>
  <c r="S12" i="1"/>
  <c r="M14" i="1"/>
  <c r="Q16" i="1"/>
  <c r="P16" i="1"/>
  <c r="L16" i="1"/>
  <c r="N16" i="1" s="1"/>
  <c r="S16" i="1"/>
  <c r="R25" i="1"/>
  <c r="M25" i="1"/>
  <c r="Q29" i="1"/>
  <c r="L29" i="1"/>
  <c r="N29" i="1" s="1"/>
  <c r="R33" i="1"/>
  <c r="R43" i="1"/>
  <c r="M43" i="1"/>
  <c r="N43" i="1" s="1"/>
  <c r="N53" i="1"/>
  <c r="M56" i="1"/>
  <c r="N56" i="1" s="1"/>
  <c r="L95" i="1"/>
  <c r="M95" i="1"/>
  <c r="L103" i="1"/>
  <c r="H102" i="1"/>
  <c r="G10" i="1"/>
  <c r="S10" i="1" s="1"/>
  <c r="L10" i="1"/>
  <c r="M13" i="1"/>
  <c r="N13" i="1" s="1"/>
  <c r="L15" i="1"/>
  <c r="N15" i="1" s="1"/>
  <c r="L32" i="1"/>
  <c r="M32" i="1"/>
  <c r="Q32" i="1"/>
  <c r="N33" i="1"/>
  <c r="R35" i="1"/>
  <c r="S39" i="1"/>
  <c r="R48" i="1"/>
  <c r="M48" i="1"/>
  <c r="N48" i="1" s="1"/>
  <c r="S48" i="1"/>
  <c r="F52" i="1"/>
  <c r="G61" i="1"/>
  <c r="L77" i="1"/>
  <c r="Q77" i="1"/>
  <c r="M77" i="1"/>
  <c r="R81" i="1"/>
  <c r="R10" i="1"/>
  <c r="P10" i="1"/>
  <c r="P9" i="1" s="1"/>
  <c r="R11" i="1"/>
  <c r="P11" i="1"/>
  <c r="J9" i="1"/>
  <c r="R12" i="1"/>
  <c r="L14" i="1"/>
  <c r="R15" i="1"/>
  <c r="P15" i="1"/>
  <c r="M18" i="1"/>
  <c r="G20" i="1"/>
  <c r="R20" i="1" s="1"/>
  <c r="M21" i="1"/>
  <c r="N22" i="1"/>
  <c r="P24" i="1"/>
  <c r="P28" i="1"/>
  <c r="L28" i="1"/>
  <c r="N28" i="1" s="1"/>
  <c r="Q28" i="1"/>
  <c r="M33" i="1"/>
  <c r="R34" i="1"/>
  <c r="Q34" i="1"/>
  <c r="N36" i="1"/>
  <c r="R41" i="1"/>
  <c r="Q41" i="1"/>
  <c r="Q60" i="1"/>
  <c r="L60" i="1"/>
  <c r="N60" i="1" s="1"/>
  <c r="Q63" i="1"/>
  <c r="L63" i="1"/>
  <c r="N73" i="1"/>
  <c r="S83" i="1"/>
  <c r="R83" i="1"/>
  <c r="M83" i="1"/>
  <c r="N86" i="1"/>
  <c r="F100" i="1"/>
  <c r="G101" i="1"/>
  <c r="M103" i="1"/>
  <c r="R106" i="1"/>
  <c r="M106" i="1"/>
  <c r="N106" i="1" s="1"/>
  <c r="N108" i="1"/>
  <c r="P38" i="1"/>
  <c r="S40" i="1"/>
  <c r="J52" i="1"/>
  <c r="S62" i="1"/>
  <c r="P71" i="1"/>
  <c r="S71" i="1"/>
  <c r="N72" i="1"/>
  <c r="S76" i="1"/>
  <c r="R78" i="1"/>
  <c r="S13" i="1"/>
  <c r="S21" i="1"/>
  <c r="L23" i="1"/>
  <c r="N23" i="1" s="1"/>
  <c r="M24" i="1"/>
  <c r="L25" i="1"/>
  <c r="N25" i="1" s="1"/>
  <c r="S27" i="1"/>
  <c r="S30" i="1"/>
  <c r="P33" i="1"/>
  <c r="S34" i="1"/>
  <c r="P35" i="1"/>
  <c r="S36" i="1"/>
  <c r="L38" i="1"/>
  <c r="N38" i="1" s="1"/>
  <c r="L39" i="1"/>
  <c r="N39" i="1" s="1"/>
  <c r="Q39" i="1"/>
  <c r="L40" i="1"/>
  <c r="P40" i="1"/>
  <c r="S41" i="1"/>
  <c r="P45" i="1"/>
  <c r="Q45" i="1"/>
  <c r="Q47" i="1"/>
  <c r="M49" i="1"/>
  <c r="N49" i="1" s="1"/>
  <c r="N54" i="1"/>
  <c r="N59" i="1"/>
  <c r="P65" i="1"/>
  <c r="S65" i="1"/>
  <c r="R73" i="1"/>
  <c r="Q78" i="1"/>
  <c r="L78" i="1"/>
  <c r="N78" i="1" s="1"/>
  <c r="S78" i="1"/>
  <c r="P79" i="1"/>
  <c r="S79" i="1"/>
  <c r="N80" i="1"/>
  <c r="M94" i="1"/>
  <c r="H93" i="1"/>
  <c r="Q93" i="1" s="1"/>
  <c r="L94" i="1"/>
  <c r="G107" i="1"/>
  <c r="G102" i="1" s="1"/>
  <c r="S102" i="1" s="1"/>
  <c r="F102" i="1"/>
  <c r="M109" i="1"/>
  <c r="N109" i="1" s="1"/>
  <c r="R47" i="1"/>
  <c r="M47" i="1"/>
  <c r="N47" i="1" s="1"/>
  <c r="Q50" i="1"/>
  <c r="L50" i="1"/>
  <c r="N50" i="1" s="1"/>
  <c r="S70" i="1"/>
  <c r="S81" i="1"/>
  <c r="P81" i="1"/>
  <c r="M82" i="1"/>
  <c r="N82" i="1" s="1"/>
  <c r="R86" i="1"/>
  <c r="G85" i="1"/>
  <c r="S85" i="1" s="1"/>
  <c r="L18" i="1"/>
  <c r="E20" i="1"/>
  <c r="E8" i="1" s="1"/>
  <c r="E7" i="1" s="1"/>
  <c r="M26" i="1"/>
  <c r="N26" i="1" s="1"/>
  <c r="R42" i="1"/>
  <c r="S43" i="1"/>
  <c r="M44" i="1"/>
  <c r="M46" i="1"/>
  <c r="N46" i="1" s="1"/>
  <c r="S47" i="1"/>
  <c r="L51" i="1"/>
  <c r="N51" i="1" s="1"/>
  <c r="R55" i="1"/>
  <c r="M55" i="1"/>
  <c r="S55" i="1"/>
  <c r="P68" i="1"/>
  <c r="S68" i="1"/>
  <c r="L69" i="1"/>
  <c r="M69" i="1"/>
  <c r="Q71" i="1"/>
  <c r="R72" i="1"/>
  <c r="Q74" i="1"/>
  <c r="L74" i="1"/>
  <c r="N74" i="1" s="1"/>
  <c r="S74" i="1"/>
  <c r="M75" i="1"/>
  <c r="N75" i="1" s="1"/>
  <c r="Q81" i="1"/>
  <c r="R82" i="1"/>
  <c r="N83" i="1"/>
  <c r="L84" i="1"/>
  <c r="N84" i="1" s="1"/>
  <c r="S86" i="1"/>
  <c r="N88" i="1"/>
  <c r="L85" i="1"/>
  <c r="S101" i="1"/>
  <c r="P101" i="1"/>
  <c r="K100" i="1"/>
  <c r="L101" i="1"/>
  <c r="N101" i="1" s="1"/>
  <c r="R105" i="1"/>
  <c r="J102" i="1"/>
  <c r="S53" i="1"/>
  <c r="S54" i="1"/>
  <c r="S56" i="1"/>
  <c r="M63" i="1"/>
  <c r="P64" i="1"/>
  <c r="P52" i="1" s="1"/>
  <c r="Q64" i="1"/>
  <c r="L65" i="1"/>
  <c r="N65" i="1" s="1"/>
  <c r="R67" i="1"/>
  <c r="Q69" i="1"/>
  <c r="Q75" i="1"/>
  <c r="P82" i="1"/>
  <c r="Q95" i="1"/>
  <c r="S109" i="1"/>
  <c r="Q109" i="1"/>
  <c r="Q62" i="1"/>
  <c r="P70" i="1"/>
  <c r="L71" i="1"/>
  <c r="N71" i="1" s="1"/>
  <c r="S73" i="1"/>
  <c r="S75" i="1"/>
  <c r="P76" i="1"/>
  <c r="Q76" i="1"/>
  <c r="L79" i="1"/>
  <c r="N79" i="1" s="1"/>
  <c r="Q87" i="1"/>
  <c r="R90" i="1"/>
  <c r="M90" i="1"/>
  <c r="M85" i="1" s="1"/>
  <c r="R96" i="1"/>
  <c r="M96" i="1"/>
  <c r="N96" i="1" s="1"/>
  <c r="S103" i="1"/>
  <c r="Q103" i="1"/>
  <c r="M105" i="1"/>
  <c r="N105" i="1" s="1"/>
  <c r="P107" i="1"/>
  <c r="P102" i="1" s="1"/>
  <c r="Q107" i="1"/>
  <c r="N63" i="1" l="1"/>
  <c r="N32" i="1"/>
  <c r="M93" i="1"/>
  <c r="F8" i="1"/>
  <c r="N64" i="1"/>
  <c r="N40" i="1"/>
  <c r="N58" i="1"/>
  <c r="R102" i="1"/>
  <c r="F99" i="1"/>
  <c r="F7" i="1" s="1"/>
  <c r="N14" i="1"/>
  <c r="N67" i="1"/>
  <c r="O8" i="1"/>
  <c r="O7" i="1" s="1"/>
  <c r="J8" i="1"/>
  <c r="R61" i="1"/>
  <c r="M61" i="1"/>
  <c r="N61" i="1" s="1"/>
  <c r="G52" i="1"/>
  <c r="S52" i="1" s="1"/>
  <c r="H99" i="1"/>
  <c r="Q102" i="1"/>
  <c r="R85" i="1"/>
  <c r="L52" i="1"/>
  <c r="Q20" i="1"/>
  <c r="S20" i="1"/>
  <c r="P20" i="1"/>
  <c r="P8" i="1" s="1"/>
  <c r="N21" i="1"/>
  <c r="L20" i="1"/>
  <c r="J99" i="1"/>
  <c r="L9" i="1"/>
  <c r="H7" i="1"/>
  <c r="Q100" i="1"/>
  <c r="P100" i="1"/>
  <c r="P99" i="1" s="1"/>
  <c r="K99" i="1"/>
  <c r="L100" i="1"/>
  <c r="N18" i="1"/>
  <c r="N90" i="1"/>
  <c r="N85" i="1" s="1"/>
  <c r="M20" i="1"/>
  <c r="G9" i="1"/>
  <c r="G8" i="1" s="1"/>
  <c r="M10" i="1"/>
  <c r="M9" i="1" s="1"/>
  <c r="L93" i="1"/>
  <c r="N95" i="1"/>
  <c r="N93" i="1" s="1"/>
  <c r="N69" i="1"/>
  <c r="R107" i="1"/>
  <c r="S107" i="1"/>
  <c r="M107" i="1"/>
  <c r="N107" i="1" s="1"/>
  <c r="N94" i="1"/>
  <c r="M99" i="1"/>
  <c r="S61" i="1"/>
  <c r="G100" i="1"/>
  <c r="S100" i="1" s="1"/>
  <c r="R101" i="1"/>
  <c r="N77" i="1"/>
  <c r="N103" i="1"/>
  <c r="L102" i="1"/>
  <c r="N52" i="1"/>
  <c r="N55" i="1"/>
  <c r="N24" i="1"/>
  <c r="N44" i="1"/>
  <c r="S9" i="1"/>
  <c r="K8" i="1"/>
  <c r="Q9" i="1"/>
  <c r="P7" i="1" l="1"/>
  <c r="Q99" i="1"/>
  <c r="N102" i="1"/>
  <c r="L8" i="1"/>
  <c r="N20" i="1"/>
  <c r="R52" i="1"/>
  <c r="N100" i="1"/>
  <c r="N99" i="1" s="1"/>
  <c r="L99" i="1"/>
  <c r="R9" i="1"/>
  <c r="G99" i="1"/>
  <c r="S99" i="1" s="1"/>
  <c r="R100" i="1"/>
  <c r="S8" i="1"/>
  <c r="K7" i="1"/>
  <c r="Q8" i="1"/>
  <c r="N10" i="1"/>
  <c r="N9" i="1" s="1"/>
  <c r="N8" i="1" s="1"/>
  <c r="R8" i="1"/>
  <c r="J7" i="1"/>
  <c r="M52" i="1"/>
  <c r="M8" i="1" s="1"/>
  <c r="M7" i="1" s="1"/>
  <c r="L7" i="1" l="1"/>
  <c r="Q7" i="1"/>
  <c r="G7" i="1"/>
  <c r="R7" i="1" s="1"/>
  <c r="N7" i="1"/>
  <c r="R99" i="1"/>
  <c r="S7" i="1" l="1"/>
</calcChain>
</file>

<file path=xl/sharedStrings.xml><?xml version="1.0" encoding="utf-8"?>
<sst xmlns="http://schemas.openxmlformats.org/spreadsheetml/2006/main" count="181" uniqueCount="165">
  <si>
    <t xml:space="preserve">  </t>
  </si>
  <si>
    <t>DIRECCIÓN DE ADMINISTRACIÓN Y FINANZAS - DEPARTAMENTO DE PRESUPUESTO</t>
  </si>
  <si>
    <t>INFORME DE EJECUCIÓN PRESUPUESTARIA (FUNCIONAMIENTO)</t>
  </si>
  <si>
    <t>AL 30 SEPTIEMBRE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</si>
  <si>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</si>
  <si>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</si>
  <si>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</si>
  <si>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</si>
  <si>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</si>
  <si>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</si>
  <si>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</si>
  <si>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</si>
  <si>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</si>
  <si>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</si>
  <si>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</si>
  <si>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</si>
  <si>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</si>
  <si>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</si>
  <si>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</si>
  <si>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</si>
  <si>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</si>
  <si>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</si>
  <si>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</si>
  <si>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</si>
  <si>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>FUNCIONAMIENTO E INVERSIONES</t>
  </si>
  <si>
    <t xml:space="preserve">FUNCIONAMIENTO 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</si>
  <si>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</si>
  <si>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</si>
  <si>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</si>
  <si>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</si>
  <si>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</si>
  <si>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</si>
  <si>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</si>
  <si>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</si>
  <si>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</si>
  <si>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</si>
  <si>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</si>
  <si>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</si>
  <si>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</si>
  <si>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</si>
  <si>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</si>
  <si>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</si>
  <si>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</si>
  <si>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</si>
  <si>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</si>
  <si>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</si>
  <si>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</si>
  <si>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101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</si>
  <si>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</si>
  <si>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</si>
  <si>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</si>
  <si>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</si>
  <si>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</si>
  <si>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</si>
  <si>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</si>
  <si>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</si>
  <si>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</si>
  <si>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</si>
  <si>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</si>
  <si>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</si>
  <si>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</si>
  <si>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</si>
  <si>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</si>
  <si>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</si>
  <si>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</si>
  <si>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</si>
  <si>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</si>
  <si>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</si>
  <si>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</si>
  <si>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</si>
  <si>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</si>
  <si>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</si>
  <si>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</si>
  <si>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</si>
  <si>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</si>
  <si>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</si>
  <si>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</si>
  <si>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</si>
  <si>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</si>
  <si>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</si>
  <si>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</si>
  <si>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</si>
  <si>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</si>
  <si>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</si>
  <si>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</si>
  <si>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</si>
  <si>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</si>
  <si>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</si>
  <si>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</si>
  <si>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</si>
  <si>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</si>
  <si>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</si>
  <si>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</si>
  <si>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</si>
  <si>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</si>
  <si>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</si>
  <si>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</si>
  <si>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</si>
  <si>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</si>
  <si>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</si>
  <si>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</si>
  <si>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</si>
  <si>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</si>
  <si>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</si>
  <si>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</si>
  <si>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</si>
  <si>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</si>
  <si>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</si>
  <si>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</si>
  <si>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</si>
  <si>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</si>
  <si>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</si>
  <si>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</si>
  <si>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</si>
  <si>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PRODUCTOS MEDICINALES Y FARMACÉUTICOS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</si>
  <si>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</si>
  <si>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</si>
  <si>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</si>
  <si>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</si>
  <si>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</si>
  <si>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</si>
  <si>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</si>
  <si>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</si>
  <si>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</si>
  <si>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</si>
  <si>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</si>
  <si>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</si>
  <si>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</si>
  <si>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</si>
  <si>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</si>
  <si>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</si>
  <si>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</si>
  <si>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</si>
  <si>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</si>
  <si>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</si>
  <si>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</si>
  <si>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</si>
  <si>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</si>
  <si>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</si>
  <si>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</si>
  <si>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</si>
  <si>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</si>
  <si>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</si>
  <si>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</si>
  <si>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</si>
  <si>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</si>
  <si>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</si>
  <si>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</si>
  <si>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</si>
  <si>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</si>
  <si>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</si>
  <si>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</si>
  <si>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</si>
  <si>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</si>
  <si>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</si>
  <si>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</si>
  <si>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</si>
  <si>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</si>
  <si>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</si>
  <si>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</si>
  <si>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</si>
  <si>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</si>
  <si>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OTRAS TRANSFERENCIAS AL EXTERIOR</t>
  </si>
  <si>
    <t>A PERSONAS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</si>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</sst>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&quot; &quot;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3" fillId="0" borderId="0"/>
  </cellStyleXfs>
  <cellXfs count="135">
    <xf numFmtId="0" fontId="0" fillId="0" borderId="0" xfId="0"/>
    <xf numFmtId="0" fontId="3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/>
    <xf numFmtId="3" fontId="2" fillId="0" borderId="6" xfId="0" applyNumberFormat="1" applyFont="1" applyFill="1" applyBorder="1" applyAlignment="1">
      <alignment wrapText="1"/>
    </xf>
    <xf numFmtId="9" fontId="2" fillId="0" borderId="6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left" wrapText="1"/>
    </xf>
    <xf numFmtId="3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0" borderId="5" xfId="0" applyNumberFormat="1" applyFont="1" applyFill="1" applyBorder="1" applyAlignment="1"/>
    <xf numFmtId="9" fontId="2" fillId="0" borderId="8" xfId="0" applyNumberFormat="1" applyFont="1" applyFill="1" applyBorder="1" applyAlignment="1">
      <alignment horizontal="right" wrapText="1"/>
    </xf>
    <xf numFmtId="0" fontId="8" fillId="0" borderId="9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protection locked="0"/>
    </xf>
    <xf numFmtId="3" fontId="3" fillId="0" borderId="10" xfId="0" applyNumberFormat="1" applyFont="1" applyFill="1" applyBorder="1"/>
    <xf numFmtId="3" fontId="8" fillId="0" borderId="10" xfId="0" applyNumberFormat="1" applyFont="1" applyFill="1" applyBorder="1" applyAlignment="1" applyProtection="1">
      <protection locked="0"/>
    </xf>
    <xf numFmtId="164" fontId="3" fillId="0" borderId="10" xfId="0" applyNumberFormat="1" applyFont="1" applyFill="1" applyBorder="1"/>
    <xf numFmtId="4" fontId="9" fillId="0" borderId="10" xfId="0" applyNumberFormat="1" applyFont="1" applyFill="1" applyBorder="1"/>
    <xf numFmtId="164" fontId="3" fillId="0" borderId="9" xfId="0" applyNumberFormat="1" applyFont="1" applyFill="1" applyBorder="1"/>
    <xf numFmtId="3" fontId="10" fillId="0" borderId="10" xfId="0" applyNumberFormat="1" applyFont="1" applyFill="1" applyBorder="1"/>
    <xf numFmtId="3" fontId="11" fillId="0" borderId="10" xfId="0" applyNumberFormat="1" applyFont="1" applyFill="1" applyBorder="1" applyAlignment="1">
      <alignment wrapText="1"/>
    </xf>
    <xf numFmtId="3" fontId="11" fillId="0" borderId="9" xfId="0" applyNumberFormat="1" applyFont="1" applyFill="1" applyBorder="1" applyAlignment="1">
      <alignment wrapText="1"/>
    </xf>
    <xf numFmtId="9" fontId="11" fillId="0" borderId="10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 applyProtection="1">
      <protection locked="0"/>
    </xf>
    <xf numFmtId="0" fontId="8" fillId="0" borderId="9" xfId="0" quotePrefix="1" applyFont="1" applyFill="1" applyBorder="1" applyAlignment="1" applyProtection="1">
      <alignment horizontal="left"/>
      <protection locked="0"/>
    </xf>
    <xf numFmtId="0" fontId="8" fillId="0" borderId="7" xfId="0" quotePrefix="1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wrapText="1"/>
    </xf>
    <xf numFmtId="9" fontId="2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  <protection locked="0"/>
    </xf>
    <xf numFmtId="4" fontId="3" fillId="0" borderId="10" xfId="0" applyNumberFormat="1" applyFont="1" applyFill="1" applyBorder="1"/>
    <xf numFmtId="3" fontId="0" fillId="0" borderId="11" xfId="0" applyNumberFormat="1" applyFill="1" applyBorder="1"/>
    <xf numFmtId="3" fontId="11" fillId="0" borderId="10" xfId="0" applyNumberFormat="1" applyFont="1" applyFill="1" applyBorder="1" applyAlignment="1" applyProtection="1">
      <protection locked="0"/>
    </xf>
    <xf numFmtId="3" fontId="11" fillId="0" borderId="10" xfId="0" applyNumberFormat="1" applyFont="1" applyFill="1" applyBorder="1"/>
    <xf numFmtId="9" fontId="11" fillId="0" borderId="6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 wrapText="1"/>
    </xf>
    <xf numFmtId="9" fontId="2" fillId="0" borderId="12" xfId="0" applyNumberFormat="1" applyFont="1" applyFill="1" applyBorder="1" applyAlignment="1">
      <alignment horizontal="right" vertical="center" wrapText="1"/>
    </xf>
    <xf numFmtId="9" fontId="11" fillId="0" borderId="13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Protection="1">
      <protection locked="0"/>
    </xf>
    <xf numFmtId="4" fontId="8" fillId="0" borderId="1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4" fontId="4" fillId="0" borderId="5" xfId="0" applyNumberFormat="1" applyFont="1" applyFill="1" applyBorder="1" applyAlignment="1" applyProtection="1">
      <protection locked="0"/>
    </xf>
    <xf numFmtId="3" fontId="4" fillId="0" borderId="6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protection locked="0"/>
    </xf>
    <xf numFmtId="4" fontId="4" fillId="0" borderId="1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0" fontId="5" fillId="0" borderId="6" xfId="0" applyFont="1" applyFill="1" applyBorder="1"/>
    <xf numFmtId="165" fontId="5" fillId="0" borderId="5" xfId="1" applyFont="1" applyFill="1" applyBorder="1"/>
    <xf numFmtId="3" fontId="5" fillId="0" borderId="5" xfId="1" applyNumberFormat="1" applyFont="1" applyFill="1" applyBorder="1"/>
    <xf numFmtId="4" fontId="5" fillId="0" borderId="6" xfId="0" applyNumberFormat="1" applyFont="1" applyFill="1" applyBorder="1"/>
    <xf numFmtId="164" fontId="5" fillId="0" borderId="6" xfId="0" applyNumberFormat="1" applyFont="1" applyFill="1" applyBorder="1"/>
    <xf numFmtId="3" fontId="5" fillId="0" borderId="6" xfId="0" applyNumberFormat="1" applyFont="1" applyFill="1" applyBorder="1"/>
    <xf numFmtId="3" fontId="5" fillId="0" borderId="5" xfId="0" applyNumberFormat="1" applyFont="1" applyFill="1" applyBorder="1"/>
    <xf numFmtId="3" fontId="5" fillId="0" borderId="12" xfId="0" applyNumberFormat="1" applyFont="1" applyFill="1" applyBorder="1"/>
    <xf numFmtId="3" fontId="2" fillId="0" borderId="5" xfId="0" applyNumberFormat="1" applyFont="1" applyFill="1" applyBorder="1" applyAlignment="1">
      <alignment wrapText="1"/>
    </xf>
    <xf numFmtId="9" fontId="2" fillId="0" borderId="3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 applyProtection="1">
      <protection locked="0"/>
    </xf>
    <xf numFmtId="4" fontId="4" fillId="0" borderId="2" xfId="0" applyNumberFormat="1" applyFont="1" applyFill="1" applyBorder="1" applyAlignment="1" applyProtection="1">
      <protection locked="0"/>
    </xf>
    <xf numFmtId="164" fontId="5" fillId="0" borderId="9" xfId="0" applyNumberFormat="1" applyFont="1" applyFill="1" applyBorder="1"/>
    <xf numFmtId="3" fontId="4" fillId="0" borderId="3" xfId="0" applyNumberFormat="1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>
      <alignment wrapText="1"/>
    </xf>
    <xf numFmtId="3" fontId="4" fillId="0" borderId="15" xfId="0" applyNumberFormat="1" applyFont="1" applyFill="1" applyBorder="1" applyAlignment="1" applyProtection="1">
      <protection locked="0"/>
    </xf>
    <xf numFmtId="9" fontId="2" fillId="0" borderId="10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3" fontId="4" fillId="0" borderId="13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9" fontId="2" fillId="0" borderId="16" xfId="0" applyNumberFormat="1" applyFont="1" applyFill="1" applyBorder="1" applyAlignment="1">
      <alignment horizontal="right" vertical="center" wrapText="1"/>
    </xf>
    <xf numFmtId="9" fontId="11" fillId="0" borderId="16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Protection="1">
      <protection locked="0"/>
    </xf>
    <xf numFmtId="3" fontId="8" fillId="0" borderId="2" xfId="0" applyNumberFormat="1" applyFont="1" applyFill="1" applyBorder="1" applyAlignment="1" applyProtection="1">
      <protection locked="0"/>
    </xf>
    <xf numFmtId="4" fontId="8" fillId="0" borderId="15" xfId="0" applyNumberFormat="1" applyFont="1" applyFill="1" applyBorder="1" applyAlignment="1" applyProtection="1">
      <protection locked="0"/>
    </xf>
    <xf numFmtId="39" fontId="13" fillId="0" borderId="16" xfId="2" applyNumberFormat="1" applyFill="1" applyBorder="1"/>
    <xf numFmtId="3" fontId="8" fillId="0" borderId="3" xfId="0" applyNumberFormat="1" applyFont="1" applyFill="1" applyBorder="1" applyAlignment="1" applyProtection="1">
      <protection locked="0"/>
    </xf>
    <xf numFmtId="3" fontId="11" fillId="0" borderId="2" xfId="0" applyNumberFormat="1" applyFont="1" applyFill="1" applyBorder="1" applyAlignment="1">
      <alignment wrapText="1"/>
    </xf>
    <xf numFmtId="3" fontId="8" fillId="0" borderId="15" xfId="0" applyNumberFormat="1" applyFont="1" applyFill="1" applyBorder="1" applyAlignment="1" applyProtection="1">
      <protection locked="0"/>
    </xf>
    <xf numFmtId="3" fontId="11" fillId="0" borderId="15" xfId="0" applyNumberFormat="1" applyFont="1" applyFill="1" applyBorder="1" applyAlignment="1">
      <alignment wrapText="1"/>
    </xf>
    <xf numFmtId="4" fontId="8" fillId="0" borderId="2" xfId="0" applyNumberFormat="1" applyFont="1" applyFill="1" applyBorder="1" applyAlignment="1" applyProtection="1">
      <protection locked="0"/>
    </xf>
    <xf numFmtId="39" fontId="13" fillId="0" borderId="2" xfId="2" applyNumberFormat="1" applyFill="1" applyBorder="1"/>
    <xf numFmtId="9" fontId="11" fillId="0" borderId="14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 applyProtection="1">
      <protection locked="0"/>
    </xf>
    <xf numFmtId="4" fontId="8" fillId="0" borderId="9" xfId="0" applyNumberFormat="1" applyFont="1" applyFill="1" applyBorder="1" applyAlignment="1" applyProtection="1">
      <protection locked="0"/>
    </xf>
    <xf numFmtId="39" fontId="13" fillId="0" borderId="9" xfId="2" applyNumberFormat="1" applyFill="1" applyBorder="1"/>
    <xf numFmtId="3" fontId="8" fillId="0" borderId="17" xfId="0" applyNumberFormat="1" applyFont="1" applyFill="1" applyBorder="1" applyAlignment="1" applyProtection="1">
      <protection locked="0"/>
    </xf>
    <xf numFmtId="3" fontId="11" fillId="0" borderId="17" xfId="0" applyNumberFormat="1" applyFont="1" applyFill="1" applyBorder="1" applyAlignment="1">
      <alignment wrapText="1"/>
    </xf>
    <xf numFmtId="9" fontId="11" fillId="0" borderId="18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 applyProtection="1">
      <alignment horizontal="left"/>
      <protection locked="0"/>
    </xf>
    <xf numFmtId="0" fontId="8" fillId="0" borderId="8" xfId="0" applyFont="1" applyFill="1" applyBorder="1" applyProtection="1">
      <protection locked="0"/>
    </xf>
    <xf numFmtId="3" fontId="8" fillId="0" borderId="7" xfId="0" applyNumberFormat="1" applyFont="1" applyFill="1" applyBorder="1" applyAlignment="1" applyProtection="1">
      <protection locked="0"/>
    </xf>
    <xf numFmtId="4" fontId="8" fillId="0" borderId="7" xfId="0" applyNumberFormat="1" applyFont="1" applyFill="1" applyBorder="1" applyAlignment="1" applyProtection="1">
      <protection locked="0"/>
    </xf>
    <xf numFmtId="39" fontId="13" fillId="0" borderId="7" xfId="2" applyNumberFormat="1" applyFill="1" applyBorder="1"/>
    <xf numFmtId="3" fontId="8" fillId="0" borderId="8" xfId="0" applyNumberFormat="1" applyFont="1" applyFill="1" applyBorder="1" applyAlignment="1" applyProtection="1">
      <protection locked="0"/>
    </xf>
    <xf numFmtId="3" fontId="8" fillId="0" borderId="19" xfId="0" applyNumberFormat="1" applyFont="1" applyFill="1" applyBorder="1" applyAlignment="1" applyProtection="1">
      <protection locked="0"/>
    </xf>
    <xf numFmtId="3" fontId="11" fillId="0" borderId="7" xfId="0" applyNumberFormat="1" applyFont="1" applyFill="1" applyBorder="1" applyAlignment="1">
      <alignment wrapText="1"/>
    </xf>
    <xf numFmtId="3" fontId="8" fillId="0" borderId="20" xfId="0" applyNumberFormat="1" applyFont="1" applyFill="1" applyBorder="1" applyAlignment="1" applyProtection="1">
      <protection locked="0"/>
    </xf>
    <xf numFmtId="3" fontId="11" fillId="0" borderId="20" xfId="0" applyNumberFormat="1" applyFont="1" applyFill="1" applyBorder="1" applyAlignment="1">
      <alignment wrapText="1"/>
    </xf>
    <xf numFmtId="9" fontId="11" fillId="0" borderId="2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3" fontId="11" fillId="0" borderId="0" xfId="0" applyNumberFormat="1" applyFont="1" applyFill="1" applyBorder="1"/>
    <xf numFmtId="9" fontId="3" fillId="0" borderId="0" xfId="0" applyNumberFormat="1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3">
    <cellStyle name="Millares 3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541020</xdr:colOff>
      <xdr:row>0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541020</xdr:colOff>
      <xdr:row>42</xdr:row>
      <xdr:rowOff>30480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517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16</xdr:col>
      <xdr:colOff>541020</xdr:colOff>
      <xdr:row>38</xdr:row>
      <xdr:rowOff>30480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8755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541020</xdr:colOff>
      <xdr:row>40</xdr:row>
      <xdr:rowOff>30480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136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16</xdr:col>
      <xdr:colOff>541020</xdr:colOff>
      <xdr:row>69</xdr:row>
      <xdr:rowOff>30480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1469136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541020</xdr:colOff>
      <xdr:row>42</xdr:row>
      <xdr:rowOff>30480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517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16</xdr:col>
      <xdr:colOff>541020</xdr:colOff>
      <xdr:row>38</xdr:row>
      <xdr:rowOff>30480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8755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541020</xdr:colOff>
      <xdr:row>40</xdr:row>
      <xdr:rowOff>30480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136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68</xdr:row>
      <xdr:rowOff>0</xdr:rowOff>
    </xdr:from>
    <xdr:to>
      <xdr:col>16</xdr:col>
      <xdr:colOff>541020</xdr:colOff>
      <xdr:row>68</xdr:row>
      <xdr:rowOff>30480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1450086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541020</xdr:colOff>
      <xdr:row>42</xdr:row>
      <xdr:rowOff>30480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517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16</xdr:col>
      <xdr:colOff>541020</xdr:colOff>
      <xdr:row>38</xdr:row>
      <xdr:rowOff>30480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8755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541020</xdr:colOff>
      <xdr:row>40</xdr:row>
      <xdr:rowOff>30480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91363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68</xdr:row>
      <xdr:rowOff>0</xdr:rowOff>
    </xdr:from>
    <xdr:to>
      <xdr:col>16</xdr:col>
      <xdr:colOff>541020</xdr:colOff>
      <xdr:row>68</xdr:row>
      <xdr:rowOff>30480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9220" y="1450086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109"/>
  <sheetViews>
    <sheetView tabSelected="1" workbookViewId="0">
      <selection sqref="A1:XFD1048576"/>
    </sheetView>
  </sheetViews>
  <sheetFormatPr baseColWidth="10" defaultColWidth="14.5" defaultRowHeight="16" x14ac:dyDescent="0.2"/>
  <cols>
    <col min="1" max="1" width="7.83203125" style="1" customWidth="1"/>
    <col min="2" max="2" width="41.6640625" style="1" customWidth="1"/>
    <col min="3" max="3" width="14.5" style="126" customWidth="1"/>
    <col min="4" max="5" width="14.5" style="1" customWidth="1"/>
    <col min="6" max="6" width="14.5" style="127" customWidth="1"/>
    <col min="7" max="7" width="14.5" style="1" customWidth="1"/>
    <col min="8" max="10" width="14.5" style="126" customWidth="1"/>
    <col min="11" max="11" width="18.1640625" style="128" customWidth="1"/>
    <col min="12" max="16" width="14.5" style="126" customWidth="1"/>
    <col min="17" max="17" width="14.5" style="129" customWidth="1"/>
    <col min="18" max="256" width="14.5" style="1"/>
    <col min="257" max="257" width="7.83203125" style="1" customWidth="1"/>
    <col min="258" max="258" width="41.6640625" style="1" customWidth="1"/>
    <col min="259" max="266" width="14.5" style="1" customWidth="1"/>
    <col min="267" max="267" width="18.1640625" style="1" customWidth="1"/>
    <col min="268" max="273" width="14.5" style="1" customWidth="1"/>
    <col min="274" max="512" width="14.5" style="1"/>
    <col min="513" max="513" width="7.83203125" style="1" customWidth="1"/>
    <col min="514" max="514" width="41.6640625" style="1" customWidth="1"/>
    <col min="515" max="522" width="14.5" style="1" customWidth="1"/>
    <col min="523" max="523" width="18.1640625" style="1" customWidth="1"/>
    <col min="524" max="529" width="14.5" style="1" customWidth="1"/>
    <col min="530" max="768" width="14.5" style="1"/>
    <col min="769" max="769" width="7.83203125" style="1" customWidth="1"/>
    <col min="770" max="770" width="41.6640625" style="1" customWidth="1"/>
    <col min="771" max="778" width="14.5" style="1" customWidth="1"/>
    <col min="779" max="779" width="18.1640625" style="1" customWidth="1"/>
    <col min="780" max="785" width="14.5" style="1" customWidth="1"/>
    <col min="786" max="1024" width="14.5" style="1"/>
    <col min="1025" max="1025" width="7.83203125" style="1" customWidth="1"/>
    <col min="1026" max="1026" width="41.6640625" style="1" customWidth="1"/>
    <col min="1027" max="1034" width="14.5" style="1" customWidth="1"/>
    <col min="1035" max="1035" width="18.1640625" style="1" customWidth="1"/>
    <col min="1036" max="1041" width="14.5" style="1" customWidth="1"/>
    <col min="1042" max="1280" width="14.5" style="1"/>
    <col min="1281" max="1281" width="7.83203125" style="1" customWidth="1"/>
    <col min="1282" max="1282" width="41.6640625" style="1" customWidth="1"/>
    <col min="1283" max="1290" width="14.5" style="1" customWidth="1"/>
    <col min="1291" max="1291" width="18.1640625" style="1" customWidth="1"/>
    <col min="1292" max="1297" width="14.5" style="1" customWidth="1"/>
    <col min="1298" max="1536" width="14.5" style="1"/>
    <col min="1537" max="1537" width="7.83203125" style="1" customWidth="1"/>
    <col min="1538" max="1538" width="41.6640625" style="1" customWidth="1"/>
    <col min="1539" max="1546" width="14.5" style="1" customWidth="1"/>
    <col min="1547" max="1547" width="18.1640625" style="1" customWidth="1"/>
    <col min="1548" max="1553" width="14.5" style="1" customWidth="1"/>
    <col min="1554" max="1792" width="14.5" style="1"/>
    <col min="1793" max="1793" width="7.83203125" style="1" customWidth="1"/>
    <col min="1794" max="1794" width="41.6640625" style="1" customWidth="1"/>
    <col min="1795" max="1802" width="14.5" style="1" customWidth="1"/>
    <col min="1803" max="1803" width="18.1640625" style="1" customWidth="1"/>
    <col min="1804" max="1809" width="14.5" style="1" customWidth="1"/>
    <col min="1810" max="2048" width="14.5" style="1"/>
    <col min="2049" max="2049" width="7.83203125" style="1" customWidth="1"/>
    <col min="2050" max="2050" width="41.6640625" style="1" customWidth="1"/>
    <col min="2051" max="2058" width="14.5" style="1" customWidth="1"/>
    <col min="2059" max="2059" width="18.1640625" style="1" customWidth="1"/>
    <col min="2060" max="2065" width="14.5" style="1" customWidth="1"/>
    <col min="2066" max="2304" width="14.5" style="1"/>
    <col min="2305" max="2305" width="7.83203125" style="1" customWidth="1"/>
    <col min="2306" max="2306" width="41.6640625" style="1" customWidth="1"/>
    <col min="2307" max="2314" width="14.5" style="1" customWidth="1"/>
    <col min="2315" max="2315" width="18.1640625" style="1" customWidth="1"/>
    <col min="2316" max="2321" width="14.5" style="1" customWidth="1"/>
    <col min="2322" max="2560" width="14.5" style="1"/>
    <col min="2561" max="2561" width="7.83203125" style="1" customWidth="1"/>
    <col min="2562" max="2562" width="41.6640625" style="1" customWidth="1"/>
    <col min="2563" max="2570" width="14.5" style="1" customWidth="1"/>
    <col min="2571" max="2571" width="18.1640625" style="1" customWidth="1"/>
    <col min="2572" max="2577" width="14.5" style="1" customWidth="1"/>
    <col min="2578" max="2816" width="14.5" style="1"/>
    <col min="2817" max="2817" width="7.83203125" style="1" customWidth="1"/>
    <col min="2818" max="2818" width="41.6640625" style="1" customWidth="1"/>
    <col min="2819" max="2826" width="14.5" style="1" customWidth="1"/>
    <col min="2827" max="2827" width="18.1640625" style="1" customWidth="1"/>
    <col min="2828" max="2833" width="14.5" style="1" customWidth="1"/>
    <col min="2834" max="3072" width="14.5" style="1"/>
    <col min="3073" max="3073" width="7.83203125" style="1" customWidth="1"/>
    <col min="3074" max="3074" width="41.6640625" style="1" customWidth="1"/>
    <col min="3075" max="3082" width="14.5" style="1" customWidth="1"/>
    <col min="3083" max="3083" width="18.1640625" style="1" customWidth="1"/>
    <col min="3084" max="3089" width="14.5" style="1" customWidth="1"/>
    <col min="3090" max="3328" width="14.5" style="1"/>
    <col min="3329" max="3329" width="7.83203125" style="1" customWidth="1"/>
    <col min="3330" max="3330" width="41.6640625" style="1" customWidth="1"/>
    <col min="3331" max="3338" width="14.5" style="1" customWidth="1"/>
    <col min="3339" max="3339" width="18.1640625" style="1" customWidth="1"/>
    <col min="3340" max="3345" width="14.5" style="1" customWidth="1"/>
    <col min="3346" max="3584" width="14.5" style="1"/>
    <col min="3585" max="3585" width="7.83203125" style="1" customWidth="1"/>
    <col min="3586" max="3586" width="41.6640625" style="1" customWidth="1"/>
    <col min="3587" max="3594" width="14.5" style="1" customWidth="1"/>
    <col min="3595" max="3595" width="18.1640625" style="1" customWidth="1"/>
    <col min="3596" max="3601" width="14.5" style="1" customWidth="1"/>
    <col min="3602" max="3840" width="14.5" style="1"/>
    <col min="3841" max="3841" width="7.83203125" style="1" customWidth="1"/>
    <col min="3842" max="3842" width="41.6640625" style="1" customWidth="1"/>
    <col min="3843" max="3850" width="14.5" style="1" customWidth="1"/>
    <col min="3851" max="3851" width="18.1640625" style="1" customWidth="1"/>
    <col min="3852" max="3857" width="14.5" style="1" customWidth="1"/>
    <col min="3858" max="4096" width="14.5" style="1"/>
    <col min="4097" max="4097" width="7.83203125" style="1" customWidth="1"/>
    <col min="4098" max="4098" width="41.6640625" style="1" customWidth="1"/>
    <col min="4099" max="4106" width="14.5" style="1" customWidth="1"/>
    <col min="4107" max="4107" width="18.1640625" style="1" customWidth="1"/>
    <col min="4108" max="4113" width="14.5" style="1" customWidth="1"/>
    <col min="4114" max="4352" width="14.5" style="1"/>
    <col min="4353" max="4353" width="7.83203125" style="1" customWidth="1"/>
    <col min="4354" max="4354" width="41.6640625" style="1" customWidth="1"/>
    <col min="4355" max="4362" width="14.5" style="1" customWidth="1"/>
    <col min="4363" max="4363" width="18.1640625" style="1" customWidth="1"/>
    <col min="4364" max="4369" width="14.5" style="1" customWidth="1"/>
    <col min="4370" max="4608" width="14.5" style="1"/>
    <col min="4609" max="4609" width="7.83203125" style="1" customWidth="1"/>
    <col min="4610" max="4610" width="41.6640625" style="1" customWidth="1"/>
    <col min="4611" max="4618" width="14.5" style="1" customWidth="1"/>
    <col min="4619" max="4619" width="18.1640625" style="1" customWidth="1"/>
    <col min="4620" max="4625" width="14.5" style="1" customWidth="1"/>
    <col min="4626" max="4864" width="14.5" style="1"/>
    <col min="4865" max="4865" width="7.83203125" style="1" customWidth="1"/>
    <col min="4866" max="4866" width="41.6640625" style="1" customWidth="1"/>
    <col min="4867" max="4874" width="14.5" style="1" customWidth="1"/>
    <col min="4875" max="4875" width="18.1640625" style="1" customWidth="1"/>
    <col min="4876" max="4881" width="14.5" style="1" customWidth="1"/>
    <col min="4882" max="5120" width="14.5" style="1"/>
    <col min="5121" max="5121" width="7.83203125" style="1" customWidth="1"/>
    <col min="5122" max="5122" width="41.6640625" style="1" customWidth="1"/>
    <col min="5123" max="5130" width="14.5" style="1" customWidth="1"/>
    <col min="5131" max="5131" width="18.1640625" style="1" customWidth="1"/>
    <col min="5132" max="5137" width="14.5" style="1" customWidth="1"/>
    <col min="5138" max="5376" width="14.5" style="1"/>
    <col min="5377" max="5377" width="7.83203125" style="1" customWidth="1"/>
    <col min="5378" max="5378" width="41.6640625" style="1" customWidth="1"/>
    <col min="5379" max="5386" width="14.5" style="1" customWidth="1"/>
    <col min="5387" max="5387" width="18.1640625" style="1" customWidth="1"/>
    <col min="5388" max="5393" width="14.5" style="1" customWidth="1"/>
    <col min="5394" max="5632" width="14.5" style="1"/>
    <col min="5633" max="5633" width="7.83203125" style="1" customWidth="1"/>
    <col min="5634" max="5634" width="41.6640625" style="1" customWidth="1"/>
    <col min="5635" max="5642" width="14.5" style="1" customWidth="1"/>
    <col min="5643" max="5643" width="18.1640625" style="1" customWidth="1"/>
    <col min="5644" max="5649" width="14.5" style="1" customWidth="1"/>
    <col min="5650" max="5888" width="14.5" style="1"/>
    <col min="5889" max="5889" width="7.83203125" style="1" customWidth="1"/>
    <col min="5890" max="5890" width="41.6640625" style="1" customWidth="1"/>
    <col min="5891" max="5898" width="14.5" style="1" customWidth="1"/>
    <col min="5899" max="5899" width="18.1640625" style="1" customWidth="1"/>
    <col min="5900" max="5905" width="14.5" style="1" customWidth="1"/>
    <col min="5906" max="6144" width="14.5" style="1"/>
    <col min="6145" max="6145" width="7.83203125" style="1" customWidth="1"/>
    <col min="6146" max="6146" width="41.6640625" style="1" customWidth="1"/>
    <col min="6147" max="6154" width="14.5" style="1" customWidth="1"/>
    <col min="6155" max="6155" width="18.1640625" style="1" customWidth="1"/>
    <col min="6156" max="6161" width="14.5" style="1" customWidth="1"/>
    <col min="6162" max="6400" width="14.5" style="1"/>
    <col min="6401" max="6401" width="7.83203125" style="1" customWidth="1"/>
    <col min="6402" max="6402" width="41.6640625" style="1" customWidth="1"/>
    <col min="6403" max="6410" width="14.5" style="1" customWidth="1"/>
    <col min="6411" max="6411" width="18.1640625" style="1" customWidth="1"/>
    <col min="6412" max="6417" width="14.5" style="1" customWidth="1"/>
    <col min="6418" max="6656" width="14.5" style="1"/>
    <col min="6657" max="6657" width="7.83203125" style="1" customWidth="1"/>
    <col min="6658" max="6658" width="41.6640625" style="1" customWidth="1"/>
    <col min="6659" max="6666" width="14.5" style="1" customWidth="1"/>
    <col min="6667" max="6667" width="18.1640625" style="1" customWidth="1"/>
    <col min="6668" max="6673" width="14.5" style="1" customWidth="1"/>
    <col min="6674" max="6912" width="14.5" style="1"/>
    <col min="6913" max="6913" width="7.83203125" style="1" customWidth="1"/>
    <col min="6914" max="6914" width="41.6640625" style="1" customWidth="1"/>
    <col min="6915" max="6922" width="14.5" style="1" customWidth="1"/>
    <col min="6923" max="6923" width="18.1640625" style="1" customWidth="1"/>
    <col min="6924" max="6929" width="14.5" style="1" customWidth="1"/>
    <col min="6930" max="7168" width="14.5" style="1"/>
    <col min="7169" max="7169" width="7.83203125" style="1" customWidth="1"/>
    <col min="7170" max="7170" width="41.6640625" style="1" customWidth="1"/>
    <col min="7171" max="7178" width="14.5" style="1" customWidth="1"/>
    <col min="7179" max="7179" width="18.1640625" style="1" customWidth="1"/>
    <col min="7180" max="7185" width="14.5" style="1" customWidth="1"/>
    <col min="7186" max="7424" width="14.5" style="1"/>
    <col min="7425" max="7425" width="7.83203125" style="1" customWidth="1"/>
    <col min="7426" max="7426" width="41.6640625" style="1" customWidth="1"/>
    <col min="7427" max="7434" width="14.5" style="1" customWidth="1"/>
    <col min="7435" max="7435" width="18.1640625" style="1" customWidth="1"/>
    <col min="7436" max="7441" width="14.5" style="1" customWidth="1"/>
    <col min="7442" max="7680" width="14.5" style="1"/>
    <col min="7681" max="7681" width="7.83203125" style="1" customWidth="1"/>
    <col min="7682" max="7682" width="41.6640625" style="1" customWidth="1"/>
    <col min="7683" max="7690" width="14.5" style="1" customWidth="1"/>
    <col min="7691" max="7691" width="18.1640625" style="1" customWidth="1"/>
    <col min="7692" max="7697" width="14.5" style="1" customWidth="1"/>
    <col min="7698" max="7936" width="14.5" style="1"/>
    <col min="7937" max="7937" width="7.83203125" style="1" customWidth="1"/>
    <col min="7938" max="7938" width="41.6640625" style="1" customWidth="1"/>
    <col min="7939" max="7946" width="14.5" style="1" customWidth="1"/>
    <col min="7947" max="7947" width="18.1640625" style="1" customWidth="1"/>
    <col min="7948" max="7953" width="14.5" style="1" customWidth="1"/>
    <col min="7954" max="8192" width="14.5" style="1"/>
    <col min="8193" max="8193" width="7.83203125" style="1" customWidth="1"/>
    <col min="8194" max="8194" width="41.6640625" style="1" customWidth="1"/>
    <col min="8195" max="8202" width="14.5" style="1" customWidth="1"/>
    <col min="8203" max="8203" width="18.1640625" style="1" customWidth="1"/>
    <col min="8204" max="8209" width="14.5" style="1" customWidth="1"/>
    <col min="8210" max="8448" width="14.5" style="1"/>
    <col min="8449" max="8449" width="7.83203125" style="1" customWidth="1"/>
    <col min="8450" max="8450" width="41.6640625" style="1" customWidth="1"/>
    <col min="8451" max="8458" width="14.5" style="1" customWidth="1"/>
    <col min="8459" max="8459" width="18.1640625" style="1" customWidth="1"/>
    <col min="8460" max="8465" width="14.5" style="1" customWidth="1"/>
    <col min="8466" max="8704" width="14.5" style="1"/>
    <col min="8705" max="8705" width="7.83203125" style="1" customWidth="1"/>
    <col min="8706" max="8706" width="41.6640625" style="1" customWidth="1"/>
    <col min="8707" max="8714" width="14.5" style="1" customWidth="1"/>
    <col min="8715" max="8715" width="18.1640625" style="1" customWidth="1"/>
    <col min="8716" max="8721" width="14.5" style="1" customWidth="1"/>
    <col min="8722" max="8960" width="14.5" style="1"/>
    <col min="8961" max="8961" width="7.83203125" style="1" customWidth="1"/>
    <col min="8962" max="8962" width="41.6640625" style="1" customWidth="1"/>
    <col min="8963" max="8970" width="14.5" style="1" customWidth="1"/>
    <col min="8971" max="8971" width="18.1640625" style="1" customWidth="1"/>
    <col min="8972" max="8977" width="14.5" style="1" customWidth="1"/>
    <col min="8978" max="9216" width="14.5" style="1"/>
    <col min="9217" max="9217" width="7.83203125" style="1" customWidth="1"/>
    <col min="9218" max="9218" width="41.6640625" style="1" customWidth="1"/>
    <col min="9219" max="9226" width="14.5" style="1" customWidth="1"/>
    <col min="9227" max="9227" width="18.1640625" style="1" customWidth="1"/>
    <col min="9228" max="9233" width="14.5" style="1" customWidth="1"/>
    <col min="9234" max="9472" width="14.5" style="1"/>
    <col min="9473" max="9473" width="7.83203125" style="1" customWidth="1"/>
    <col min="9474" max="9474" width="41.6640625" style="1" customWidth="1"/>
    <col min="9475" max="9482" width="14.5" style="1" customWidth="1"/>
    <col min="9483" max="9483" width="18.1640625" style="1" customWidth="1"/>
    <col min="9484" max="9489" width="14.5" style="1" customWidth="1"/>
    <col min="9490" max="9728" width="14.5" style="1"/>
    <col min="9729" max="9729" width="7.83203125" style="1" customWidth="1"/>
    <col min="9730" max="9730" width="41.6640625" style="1" customWidth="1"/>
    <col min="9731" max="9738" width="14.5" style="1" customWidth="1"/>
    <col min="9739" max="9739" width="18.1640625" style="1" customWidth="1"/>
    <col min="9740" max="9745" width="14.5" style="1" customWidth="1"/>
    <col min="9746" max="9984" width="14.5" style="1"/>
    <col min="9985" max="9985" width="7.83203125" style="1" customWidth="1"/>
    <col min="9986" max="9986" width="41.6640625" style="1" customWidth="1"/>
    <col min="9987" max="9994" width="14.5" style="1" customWidth="1"/>
    <col min="9995" max="9995" width="18.1640625" style="1" customWidth="1"/>
    <col min="9996" max="10001" width="14.5" style="1" customWidth="1"/>
    <col min="10002" max="10240" width="14.5" style="1"/>
    <col min="10241" max="10241" width="7.83203125" style="1" customWidth="1"/>
    <col min="10242" max="10242" width="41.6640625" style="1" customWidth="1"/>
    <col min="10243" max="10250" width="14.5" style="1" customWidth="1"/>
    <col min="10251" max="10251" width="18.1640625" style="1" customWidth="1"/>
    <col min="10252" max="10257" width="14.5" style="1" customWidth="1"/>
    <col min="10258" max="10496" width="14.5" style="1"/>
    <col min="10497" max="10497" width="7.83203125" style="1" customWidth="1"/>
    <col min="10498" max="10498" width="41.6640625" style="1" customWidth="1"/>
    <col min="10499" max="10506" width="14.5" style="1" customWidth="1"/>
    <col min="10507" max="10507" width="18.1640625" style="1" customWidth="1"/>
    <col min="10508" max="10513" width="14.5" style="1" customWidth="1"/>
    <col min="10514" max="10752" width="14.5" style="1"/>
    <col min="10753" max="10753" width="7.83203125" style="1" customWidth="1"/>
    <col min="10754" max="10754" width="41.6640625" style="1" customWidth="1"/>
    <col min="10755" max="10762" width="14.5" style="1" customWidth="1"/>
    <col min="10763" max="10763" width="18.1640625" style="1" customWidth="1"/>
    <col min="10764" max="10769" width="14.5" style="1" customWidth="1"/>
    <col min="10770" max="11008" width="14.5" style="1"/>
    <col min="11009" max="11009" width="7.83203125" style="1" customWidth="1"/>
    <col min="11010" max="11010" width="41.6640625" style="1" customWidth="1"/>
    <col min="11011" max="11018" width="14.5" style="1" customWidth="1"/>
    <col min="11019" max="11019" width="18.1640625" style="1" customWidth="1"/>
    <col min="11020" max="11025" width="14.5" style="1" customWidth="1"/>
    <col min="11026" max="11264" width="14.5" style="1"/>
    <col min="11265" max="11265" width="7.83203125" style="1" customWidth="1"/>
    <col min="11266" max="11266" width="41.6640625" style="1" customWidth="1"/>
    <col min="11267" max="11274" width="14.5" style="1" customWidth="1"/>
    <col min="11275" max="11275" width="18.1640625" style="1" customWidth="1"/>
    <col min="11276" max="11281" width="14.5" style="1" customWidth="1"/>
    <col min="11282" max="11520" width="14.5" style="1"/>
    <col min="11521" max="11521" width="7.83203125" style="1" customWidth="1"/>
    <col min="11522" max="11522" width="41.6640625" style="1" customWidth="1"/>
    <col min="11523" max="11530" width="14.5" style="1" customWidth="1"/>
    <col min="11531" max="11531" width="18.1640625" style="1" customWidth="1"/>
    <col min="11532" max="11537" width="14.5" style="1" customWidth="1"/>
    <col min="11538" max="11776" width="14.5" style="1"/>
    <col min="11777" max="11777" width="7.83203125" style="1" customWidth="1"/>
    <col min="11778" max="11778" width="41.6640625" style="1" customWidth="1"/>
    <col min="11779" max="11786" width="14.5" style="1" customWidth="1"/>
    <col min="11787" max="11787" width="18.1640625" style="1" customWidth="1"/>
    <col min="11788" max="11793" width="14.5" style="1" customWidth="1"/>
    <col min="11794" max="12032" width="14.5" style="1"/>
    <col min="12033" max="12033" width="7.83203125" style="1" customWidth="1"/>
    <col min="12034" max="12034" width="41.6640625" style="1" customWidth="1"/>
    <col min="12035" max="12042" width="14.5" style="1" customWidth="1"/>
    <col min="12043" max="12043" width="18.1640625" style="1" customWidth="1"/>
    <col min="12044" max="12049" width="14.5" style="1" customWidth="1"/>
    <col min="12050" max="12288" width="14.5" style="1"/>
    <col min="12289" max="12289" width="7.83203125" style="1" customWidth="1"/>
    <col min="12290" max="12290" width="41.6640625" style="1" customWidth="1"/>
    <col min="12291" max="12298" width="14.5" style="1" customWidth="1"/>
    <col min="12299" max="12299" width="18.1640625" style="1" customWidth="1"/>
    <col min="12300" max="12305" width="14.5" style="1" customWidth="1"/>
    <col min="12306" max="12544" width="14.5" style="1"/>
    <col min="12545" max="12545" width="7.83203125" style="1" customWidth="1"/>
    <col min="12546" max="12546" width="41.6640625" style="1" customWidth="1"/>
    <col min="12547" max="12554" width="14.5" style="1" customWidth="1"/>
    <col min="12555" max="12555" width="18.1640625" style="1" customWidth="1"/>
    <col min="12556" max="12561" width="14.5" style="1" customWidth="1"/>
    <col min="12562" max="12800" width="14.5" style="1"/>
    <col min="12801" max="12801" width="7.83203125" style="1" customWidth="1"/>
    <col min="12802" max="12802" width="41.6640625" style="1" customWidth="1"/>
    <col min="12803" max="12810" width="14.5" style="1" customWidth="1"/>
    <col min="12811" max="12811" width="18.1640625" style="1" customWidth="1"/>
    <col min="12812" max="12817" width="14.5" style="1" customWidth="1"/>
    <col min="12818" max="13056" width="14.5" style="1"/>
    <col min="13057" max="13057" width="7.83203125" style="1" customWidth="1"/>
    <col min="13058" max="13058" width="41.6640625" style="1" customWidth="1"/>
    <col min="13059" max="13066" width="14.5" style="1" customWidth="1"/>
    <col min="13067" max="13067" width="18.1640625" style="1" customWidth="1"/>
    <col min="13068" max="13073" width="14.5" style="1" customWidth="1"/>
    <col min="13074" max="13312" width="14.5" style="1"/>
    <col min="13313" max="13313" width="7.83203125" style="1" customWidth="1"/>
    <col min="13314" max="13314" width="41.6640625" style="1" customWidth="1"/>
    <col min="13315" max="13322" width="14.5" style="1" customWidth="1"/>
    <col min="13323" max="13323" width="18.1640625" style="1" customWidth="1"/>
    <col min="13324" max="13329" width="14.5" style="1" customWidth="1"/>
    <col min="13330" max="13568" width="14.5" style="1"/>
    <col min="13569" max="13569" width="7.83203125" style="1" customWidth="1"/>
    <col min="13570" max="13570" width="41.6640625" style="1" customWidth="1"/>
    <col min="13571" max="13578" width="14.5" style="1" customWidth="1"/>
    <col min="13579" max="13579" width="18.1640625" style="1" customWidth="1"/>
    <col min="13580" max="13585" width="14.5" style="1" customWidth="1"/>
    <col min="13586" max="13824" width="14.5" style="1"/>
    <col min="13825" max="13825" width="7.83203125" style="1" customWidth="1"/>
    <col min="13826" max="13826" width="41.6640625" style="1" customWidth="1"/>
    <col min="13827" max="13834" width="14.5" style="1" customWidth="1"/>
    <col min="13835" max="13835" width="18.1640625" style="1" customWidth="1"/>
    <col min="13836" max="13841" width="14.5" style="1" customWidth="1"/>
    <col min="13842" max="14080" width="14.5" style="1"/>
    <col min="14081" max="14081" width="7.83203125" style="1" customWidth="1"/>
    <col min="14082" max="14082" width="41.6640625" style="1" customWidth="1"/>
    <col min="14083" max="14090" width="14.5" style="1" customWidth="1"/>
    <col min="14091" max="14091" width="18.1640625" style="1" customWidth="1"/>
    <col min="14092" max="14097" width="14.5" style="1" customWidth="1"/>
    <col min="14098" max="14336" width="14.5" style="1"/>
    <col min="14337" max="14337" width="7.83203125" style="1" customWidth="1"/>
    <col min="14338" max="14338" width="41.6640625" style="1" customWidth="1"/>
    <col min="14339" max="14346" width="14.5" style="1" customWidth="1"/>
    <col min="14347" max="14347" width="18.1640625" style="1" customWidth="1"/>
    <col min="14348" max="14353" width="14.5" style="1" customWidth="1"/>
    <col min="14354" max="14592" width="14.5" style="1"/>
    <col min="14593" max="14593" width="7.83203125" style="1" customWidth="1"/>
    <col min="14594" max="14594" width="41.6640625" style="1" customWidth="1"/>
    <col min="14595" max="14602" width="14.5" style="1" customWidth="1"/>
    <col min="14603" max="14603" width="18.1640625" style="1" customWidth="1"/>
    <col min="14604" max="14609" width="14.5" style="1" customWidth="1"/>
    <col min="14610" max="14848" width="14.5" style="1"/>
    <col min="14849" max="14849" width="7.83203125" style="1" customWidth="1"/>
    <col min="14850" max="14850" width="41.6640625" style="1" customWidth="1"/>
    <col min="14851" max="14858" width="14.5" style="1" customWidth="1"/>
    <col min="14859" max="14859" width="18.1640625" style="1" customWidth="1"/>
    <col min="14860" max="14865" width="14.5" style="1" customWidth="1"/>
    <col min="14866" max="15104" width="14.5" style="1"/>
    <col min="15105" max="15105" width="7.83203125" style="1" customWidth="1"/>
    <col min="15106" max="15106" width="41.6640625" style="1" customWidth="1"/>
    <col min="15107" max="15114" width="14.5" style="1" customWidth="1"/>
    <col min="15115" max="15115" width="18.1640625" style="1" customWidth="1"/>
    <col min="15116" max="15121" width="14.5" style="1" customWidth="1"/>
    <col min="15122" max="15360" width="14.5" style="1"/>
    <col min="15361" max="15361" width="7.83203125" style="1" customWidth="1"/>
    <col min="15362" max="15362" width="41.6640625" style="1" customWidth="1"/>
    <col min="15363" max="15370" width="14.5" style="1" customWidth="1"/>
    <col min="15371" max="15371" width="18.1640625" style="1" customWidth="1"/>
    <col min="15372" max="15377" width="14.5" style="1" customWidth="1"/>
    <col min="15378" max="15616" width="14.5" style="1"/>
    <col min="15617" max="15617" width="7.83203125" style="1" customWidth="1"/>
    <col min="15618" max="15618" width="41.6640625" style="1" customWidth="1"/>
    <col min="15619" max="15626" width="14.5" style="1" customWidth="1"/>
    <col min="15627" max="15627" width="18.1640625" style="1" customWidth="1"/>
    <col min="15628" max="15633" width="14.5" style="1" customWidth="1"/>
    <col min="15634" max="15872" width="14.5" style="1"/>
    <col min="15873" max="15873" width="7.83203125" style="1" customWidth="1"/>
    <col min="15874" max="15874" width="41.6640625" style="1" customWidth="1"/>
    <col min="15875" max="15882" width="14.5" style="1" customWidth="1"/>
    <col min="15883" max="15883" width="18.1640625" style="1" customWidth="1"/>
    <col min="15884" max="15889" width="14.5" style="1" customWidth="1"/>
    <col min="15890" max="16128" width="14.5" style="1"/>
    <col min="16129" max="16129" width="7.83203125" style="1" customWidth="1"/>
    <col min="16130" max="16130" width="41.6640625" style="1" customWidth="1"/>
    <col min="16131" max="16138" width="14.5" style="1" customWidth="1"/>
    <col min="16139" max="16139" width="18.1640625" style="1" customWidth="1"/>
    <col min="16140" max="16145" width="14.5" style="1" customWidth="1"/>
    <col min="16146" max="16384" width="14.5" style="1"/>
  </cols>
  <sheetData>
    <row r="1" spans="1:2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1" x14ac:dyDescent="0.2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21" x14ac:dyDescent="0.2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21" x14ac:dyDescent="0.2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21" ht="17" thickBot="1" x14ac:dyDescent="0.25">
      <c r="A5" s="134" t="s">
        <v>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21" s="13" customFormat="1" ht="103" thickBot="1" x14ac:dyDescent="0.25">
      <c r="A6" s="2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4" t="s">
        <v>12</v>
      </c>
      <c r="I6" s="4" t="s">
        <v>13</v>
      </c>
      <c r="J6" s="4" t="s">
        <v>14</v>
      </c>
      <c r="K6" s="9" t="s">
        <v>15</v>
      </c>
      <c r="L6" s="4" t="s">
        <v>16</v>
      </c>
      <c r="M6" s="4" t="s">
        <v>17</v>
      </c>
      <c r="N6" s="10" t="s">
        <v>18</v>
      </c>
      <c r="O6" s="4" t="s">
        <v>19</v>
      </c>
      <c r="P6" s="9" t="s">
        <v>20</v>
      </c>
      <c r="Q6" s="11" t="s">
        <v>21</v>
      </c>
      <c r="R6" s="11" t="s">
        <v>22</v>
      </c>
      <c r="S6" s="12" t="s">
        <v>23</v>
      </c>
    </row>
    <row r="7" spans="1:21" s="13" customFormat="1" ht="17" thickBot="1" x14ac:dyDescent="0.25">
      <c r="A7" s="130" t="s">
        <v>24</v>
      </c>
      <c r="B7" s="131"/>
      <c r="C7" s="14">
        <f>C8+C99</f>
        <v>1939718</v>
      </c>
      <c r="D7" s="14">
        <f>D8+D101</f>
        <v>0</v>
      </c>
      <c r="E7" s="14">
        <f>E8+E101</f>
        <v>1939718</v>
      </c>
      <c r="F7" s="14">
        <f t="shared" ref="F7:P7" si="0">F8+F99</f>
        <v>388813</v>
      </c>
      <c r="G7" s="14">
        <f t="shared" si="0"/>
        <v>2328531</v>
      </c>
      <c r="H7" s="14">
        <f t="shared" si="0"/>
        <v>1959829.5</v>
      </c>
      <c r="I7" s="14">
        <f t="shared" si="0"/>
        <v>80917</v>
      </c>
      <c r="J7" s="14">
        <f t="shared" si="0"/>
        <v>1397664.09</v>
      </c>
      <c r="K7" s="14">
        <f t="shared" si="0"/>
        <v>1509695.4200000002</v>
      </c>
      <c r="L7" s="14">
        <f t="shared" si="0"/>
        <v>531051.08000000019</v>
      </c>
      <c r="M7" s="14">
        <f t="shared" si="0"/>
        <v>368701.5</v>
      </c>
      <c r="N7" s="14">
        <f t="shared" si="0"/>
        <v>818835.58000000019</v>
      </c>
      <c r="O7" s="14">
        <f t="shared" si="0"/>
        <v>1130603.07</v>
      </c>
      <c r="P7" s="14">
        <f t="shared" si="0"/>
        <v>349092.34999999986</v>
      </c>
      <c r="Q7" s="15">
        <f t="shared" ref="Q7:Q36" si="1">SUM(K7/H7*100%)</f>
        <v>0.7703197752661648</v>
      </c>
      <c r="R7" s="15">
        <f t="shared" ref="R7:R36" si="2">SUM(J7/G7*100%)</f>
        <v>0.60023426357647813</v>
      </c>
      <c r="S7" s="15">
        <f t="shared" ref="S7:S36" si="3">SUM(K7/G7*100%)</f>
        <v>0.64834671301348368</v>
      </c>
    </row>
    <row r="8" spans="1:21" s="13" customFormat="1" ht="17" thickBot="1" x14ac:dyDescent="0.25">
      <c r="A8" s="130" t="s">
        <v>25</v>
      </c>
      <c r="B8" s="131"/>
      <c r="C8" s="14">
        <f>C9+C20+C52+C85+C93</f>
        <v>1939718</v>
      </c>
      <c r="D8" s="14">
        <f>D9+D20+D52+D85+D93+D99</f>
        <v>0</v>
      </c>
      <c r="E8" s="14">
        <f>E9+E20+E52+E85+E93+E99</f>
        <v>1939718</v>
      </c>
      <c r="F8" s="14">
        <f t="shared" ref="F8:P8" si="4">F9+F20+F52+F85+F93</f>
        <v>288813</v>
      </c>
      <c r="G8" s="14">
        <f t="shared" si="4"/>
        <v>2228531</v>
      </c>
      <c r="H8" s="14">
        <f t="shared" si="4"/>
        <v>1859829.5</v>
      </c>
      <c r="I8" s="14">
        <f t="shared" si="4"/>
        <v>80917</v>
      </c>
      <c r="J8" s="14">
        <f t="shared" si="4"/>
        <v>1309043.6200000001</v>
      </c>
      <c r="K8" s="14">
        <f t="shared" si="4"/>
        <v>1421074.9500000002</v>
      </c>
      <c r="L8" s="14">
        <f t="shared" si="4"/>
        <v>519671.55000000016</v>
      </c>
      <c r="M8" s="14">
        <f t="shared" si="4"/>
        <v>368701.5</v>
      </c>
      <c r="N8" s="14">
        <f t="shared" si="4"/>
        <v>807456.05000000016</v>
      </c>
      <c r="O8" s="14">
        <f t="shared" si="4"/>
        <v>1106724.7</v>
      </c>
      <c r="P8" s="14">
        <f t="shared" si="4"/>
        <v>284350.24999999988</v>
      </c>
      <c r="Q8" s="15">
        <f t="shared" si="1"/>
        <v>0.76408883179882903</v>
      </c>
      <c r="R8" s="15">
        <f t="shared" si="2"/>
        <v>0.58740202402389741</v>
      </c>
      <c r="S8" s="15">
        <f t="shared" si="3"/>
        <v>0.63767340458804489</v>
      </c>
      <c r="U8" s="16"/>
    </row>
    <row r="9" spans="1:21" s="13" customFormat="1" ht="18" thickBot="1" x14ac:dyDescent="0.25">
      <c r="A9" s="17">
        <v>0</v>
      </c>
      <c r="B9" s="18" t="s">
        <v>26</v>
      </c>
      <c r="C9" s="19">
        <f>SUM(C10:C19)</f>
        <v>1412126</v>
      </c>
      <c r="D9" s="19">
        <f>SUM(D10:D19)</f>
        <v>0</v>
      </c>
      <c r="E9" s="19">
        <f>SUM(E10:E19)</f>
        <v>1412126</v>
      </c>
      <c r="F9" s="20">
        <f t="shared" ref="F9:P9" si="5">SUM(F10:F19)</f>
        <v>205292</v>
      </c>
      <c r="G9" s="21">
        <f t="shared" si="5"/>
        <v>1617418</v>
      </c>
      <c r="H9" s="19">
        <f t="shared" si="5"/>
        <v>1261776</v>
      </c>
      <c r="I9" s="19">
        <f t="shared" si="5"/>
        <v>0</v>
      </c>
      <c r="J9" s="19">
        <f t="shared" si="5"/>
        <v>990445.43</v>
      </c>
      <c r="K9" s="22">
        <f t="shared" si="5"/>
        <v>1017510.43</v>
      </c>
      <c r="L9" s="19">
        <f>SUM(L10:L19)</f>
        <v>244265.57000000007</v>
      </c>
      <c r="M9" s="19">
        <f t="shared" si="5"/>
        <v>355642</v>
      </c>
      <c r="N9" s="19">
        <f t="shared" si="5"/>
        <v>599907.57000000007</v>
      </c>
      <c r="O9" s="19">
        <f>SUM(O10:O19)</f>
        <v>960550.85</v>
      </c>
      <c r="P9" s="21">
        <f t="shared" si="5"/>
        <v>56959.579999999951</v>
      </c>
      <c r="Q9" s="23">
        <f t="shared" si="1"/>
        <v>0.80641130438366249</v>
      </c>
      <c r="R9" s="23">
        <f t="shared" si="2"/>
        <v>0.61236206719598774</v>
      </c>
      <c r="S9" s="23">
        <f t="shared" si="3"/>
        <v>0.62909552756306664</v>
      </c>
    </row>
    <row r="10" spans="1:21" x14ac:dyDescent="0.2">
      <c r="A10" s="24">
        <v>1</v>
      </c>
      <c r="B10" s="25" t="s">
        <v>27</v>
      </c>
      <c r="C10" s="26">
        <v>1133760</v>
      </c>
      <c r="D10" s="27">
        <v>0</v>
      </c>
      <c r="E10" s="28">
        <v>1133760</v>
      </c>
      <c r="F10" s="29">
        <f>54240-15727+121500</f>
        <v>160013</v>
      </c>
      <c r="G10" s="30">
        <f t="shared" ref="G10:G19" si="6">SUM(E10+F10)</f>
        <v>1293773</v>
      </c>
      <c r="H10" s="27">
        <f>(94480+94480-7800+91842+159158+78753+115064-20584+215980+94480+94480)</f>
        <v>1010333</v>
      </c>
      <c r="I10" s="27">
        <v>0</v>
      </c>
      <c r="J10" s="27">
        <f>SUM(86500+161500+87683.34+87071.67+92350+97033.33+94950+105553.33)</f>
        <v>812641.66999999993</v>
      </c>
      <c r="K10" s="31">
        <f>343930+86233.34+97880+97880+115180+94103.33</f>
        <v>835206.66999999993</v>
      </c>
      <c r="L10" s="32">
        <f t="shared" ref="L10:L19" si="7">SUM(H10-K10)</f>
        <v>175126.33000000007</v>
      </c>
      <c r="M10" s="32">
        <f t="shared" ref="M10:M19" si="8">SUM(G10-H10)</f>
        <v>283440</v>
      </c>
      <c r="N10" s="32">
        <f t="shared" ref="N10:N19" si="9">SUM(-I10+L10+M10)</f>
        <v>458566.33000000007</v>
      </c>
      <c r="O10" s="27">
        <f>15757.23+65198.07+201295.9+311943+62177.95+136824+0.06</f>
        <v>793196.21</v>
      </c>
      <c r="P10" s="33">
        <f t="shared" ref="P10:P51" si="10">SUM(K10-O10)</f>
        <v>42010.459999999963</v>
      </c>
      <c r="Q10" s="34">
        <f t="shared" si="1"/>
        <v>0.8266647432084272</v>
      </c>
      <c r="R10" s="34">
        <f t="shared" si="2"/>
        <v>0.62811766051695306</v>
      </c>
      <c r="S10" s="34">
        <f t="shared" si="3"/>
        <v>0.64555889634425812</v>
      </c>
    </row>
    <row r="11" spans="1:21" x14ac:dyDescent="0.2">
      <c r="A11" s="24" t="s">
        <v>28</v>
      </c>
      <c r="B11" s="25" t="s">
        <v>29</v>
      </c>
      <c r="C11" s="26">
        <v>54000</v>
      </c>
      <c r="D11" s="27">
        <v>0</v>
      </c>
      <c r="E11" s="28">
        <v>54000</v>
      </c>
      <c r="F11" s="29">
        <v>-3000</v>
      </c>
      <c r="G11" s="30">
        <f t="shared" si="6"/>
        <v>51000</v>
      </c>
      <c r="H11" s="27">
        <f>(4500+4500-1500+4500+3000+4500+4500+4500+4500+4500)</f>
        <v>37500</v>
      </c>
      <c r="I11" s="27">
        <v>0</v>
      </c>
      <c r="J11" s="27">
        <f>SUM(3000+6000+3000+3000+3000+3000+3000+3000)</f>
        <v>27000</v>
      </c>
      <c r="K11" s="31">
        <f>13500+3000+4500+4500+4500+1500</f>
        <v>31500</v>
      </c>
      <c r="L11" s="32">
        <f t="shared" si="7"/>
        <v>6000</v>
      </c>
      <c r="M11" s="32">
        <f t="shared" si="8"/>
        <v>13500</v>
      </c>
      <c r="N11" s="32">
        <f t="shared" si="9"/>
        <v>19500</v>
      </c>
      <c r="O11" s="35">
        <f>638.34+1276.68+8361.66+10084.98+1819.17+4181-0.17</f>
        <v>26361.660000000003</v>
      </c>
      <c r="P11" s="33">
        <f t="shared" si="10"/>
        <v>5138.3399999999965</v>
      </c>
      <c r="Q11" s="34">
        <f t="shared" si="1"/>
        <v>0.84</v>
      </c>
      <c r="R11" s="34">
        <f t="shared" si="2"/>
        <v>0.52941176470588236</v>
      </c>
      <c r="S11" s="34">
        <f t="shared" si="3"/>
        <v>0.61764705882352944</v>
      </c>
    </row>
    <row r="12" spans="1:21" x14ac:dyDescent="0.2">
      <c r="A12" s="36" t="s">
        <v>30</v>
      </c>
      <c r="B12" s="25" t="s">
        <v>31</v>
      </c>
      <c r="C12" s="26">
        <v>31350</v>
      </c>
      <c r="D12" s="27">
        <v>0</v>
      </c>
      <c r="E12" s="28">
        <v>31350</v>
      </c>
      <c r="F12" s="29">
        <f>1170+5500</f>
        <v>6670</v>
      </c>
      <c r="G12" s="30">
        <f t="shared" si="6"/>
        <v>38020</v>
      </c>
      <c r="H12" s="27">
        <f>(10404+23+1193+15950)</f>
        <v>27570</v>
      </c>
      <c r="I12" s="27">
        <v>0</v>
      </c>
      <c r="J12" s="26">
        <f>SUM(9367+138.65+62.65+10068-0.12)</f>
        <v>19636.18</v>
      </c>
      <c r="K12" s="31">
        <f>9505.65+62.65+10067.88</f>
        <v>19636.18</v>
      </c>
      <c r="L12" s="32">
        <f t="shared" si="7"/>
        <v>7933.82</v>
      </c>
      <c r="M12" s="32">
        <f t="shared" si="8"/>
        <v>10450</v>
      </c>
      <c r="N12" s="32">
        <f t="shared" si="9"/>
        <v>18383.82</v>
      </c>
      <c r="O12" s="35">
        <f>8687.63+10+9274.34+725-0.13</f>
        <v>18696.84</v>
      </c>
      <c r="P12" s="33">
        <f t="shared" si="10"/>
        <v>939.34000000000015</v>
      </c>
      <c r="Q12" s="34">
        <f t="shared" si="1"/>
        <v>0.7122299601015597</v>
      </c>
      <c r="R12" s="34">
        <f t="shared" si="2"/>
        <v>0.51646975276170437</v>
      </c>
      <c r="S12" s="34">
        <f t="shared" si="3"/>
        <v>0.51646975276170437</v>
      </c>
    </row>
    <row r="13" spans="1:21" x14ac:dyDescent="0.2">
      <c r="A13" s="24" t="s">
        <v>32</v>
      </c>
      <c r="B13" s="25" t="s">
        <v>33</v>
      </c>
      <c r="C13" s="26">
        <v>153281</v>
      </c>
      <c r="D13" s="27">
        <v>0</v>
      </c>
      <c r="E13" s="28">
        <v>153281</v>
      </c>
      <c r="F13" s="29">
        <f>5444+15561</f>
        <v>21005</v>
      </c>
      <c r="G13" s="30">
        <f t="shared" si="6"/>
        <v>174286</v>
      </c>
      <c r="H13" s="27">
        <f>(12774+12774-3823+12774+22041+12774+12773+28334+12773+12773)</f>
        <v>135967</v>
      </c>
      <c r="I13" s="27">
        <v>0</v>
      </c>
      <c r="J13" s="27">
        <f>SUM(22100+9827.33+11108.71+11178.03+11687.13+12261.48+13073.83)</f>
        <v>91236.51</v>
      </c>
      <c r="K13" s="31">
        <f>31927.33+11108.71+11178.03+11687.13+12261.48+13073.83</f>
        <v>91236.51</v>
      </c>
      <c r="L13" s="32">
        <f t="shared" si="7"/>
        <v>44730.490000000005</v>
      </c>
      <c r="M13" s="32">
        <f t="shared" si="8"/>
        <v>38319</v>
      </c>
      <c r="N13" s="32">
        <f t="shared" si="9"/>
        <v>83049.490000000005</v>
      </c>
      <c r="O13" s="35">
        <f>10902.52+21009.86+22142.48+11839.6+12254.09+13074-0.17</f>
        <v>91222.38</v>
      </c>
      <c r="P13" s="33">
        <f t="shared" si="10"/>
        <v>14.129999999990105</v>
      </c>
      <c r="Q13" s="34">
        <f t="shared" si="1"/>
        <v>0.67101951208749178</v>
      </c>
      <c r="R13" s="34">
        <f t="shared" si="2"/>
        <v>0.52348731395522297</v>
      </c>
      <c r="S13" s="34">
        <f t="shared" si="3"/>
        <v>0.52348731395522297</v>
      </c>
    </row>
    <row r="14" spans="1:21" x14ac:dyDescent="0.2">
      <c r="A14" s="24" t="s">
        <v>34</v>
      </c>
      <c r="B14" s="25" t="s">
        <v>35</v>
      </c>
      <c r="C14" s="26">
        <v>17546</v>
      </c>
      <c r="D14" s="27">
        <v>0</v>
      </c>
      <c r="E14" s="28">
        <v>17546</v>
      </c>
      <c r="F14" s="29">
        <f>1094+1825</f>
        <v>2919</v>
      </c>
      <c r="G14" s="30">
        <f t="shared" si="6"/>
        <v>20465</v>
      </c>
      <c r="H14" s="27">
        <f>(1463+1463+1462+2556+1462+1462+3287+1462+1462)</f>
        <v>16079</v>
      </c>
      <c r="I14" s="27">
        <v>0</v>
      </c>
      <c r="J14" s="27">
        <f>SUM(2495+1156.72+1315.3+1323.75+1385.25+1455.5+1424.25)</f>
        <v>10555.77</v>
      </c>
      <c r="K14" s="31">
        <f>3651.77+1315.25+1323.75+1385.25+1455.5+1424.25</f>
        <v>10555.77</v>
      </c>
      <c r="L14" s="32">
        <f t="shared" si="7"/>
        <v>5523.23</v>
      </c>
      <c r="M14" s="32">
        <f t="shared" si="8"/>
        <v>4386</v>
      </c>
      <c r="N14" s="32">
        <f t="shared" si="9"/>
        <v>9909.23</v>
      </c>
      <c r="O14" s="35">
        <f>1290+2361.77+2621.33+1402.92+1455.5+1424+0.25</f>
        <v>10555.77</v>
      </c>
      <c r="P14" s="33">
        <f t="shared" si="10"/>
        <v>0</v>
      </c>
      <c r="Q14" s="34">
        <f t="shared" si="1"/>
        <v>0.65649418496175138</v>
      </c>
      <c r="R14" s="34">
        <f t="shared" si="2"/>
        <v>0.51579623747862202</v>
      </c>
      <c r="S14" s="34">
        <f t="shared" si="3"/>
        <v>0.51579623747862202</v>
      </c>
    </row>
    <row r="15" spans="1:21" x14ac:dyDescent="0.2">
      <c r="A15" s="24" t="s">
        <v>36</v>
      </c>
      <c r="B15" s="25" t="s">
        <v>37</v>
      </c>
      <c r="C15" s="26">
        <v>18680</v>
      </c>
      <c r="D15" s="27">
        <v>0</v>
      </c>
      <c r="E15" s="28">
        <v>18680</v>
      </c>
      <c r="F15" s="29">
        <f>832+1825</f>
        <v>2657</v>
      </c>
      <c r="G15" s="30">
        <f t="shared" si="6"/>
        <v>21337</v>
      </c>
      <c r="H15" s="27">
        <f>(1556+1556-262+1556+2650+1557+1557+3382+1157+400+1557)</f>
        <v>16666</v>
      </c>
      <c r="I15" s="27">
        <v>0</v>
      </c>
      <c r="J15" s="27">
        <f>SUM(3619+1682.45+1904.35+1916.24+2002.35+2100.7+2056.95)</f>
        <v>15282.04</v>
      </c>
      <c r="K15" s="31">
        <f>5301.45+1904.35+1916.24+2002.35+2100.7+2056.95</f>
        <v>15282.04</v>
      </c>
      <c r="L15" s="32">
        <f t="shared" si="7"/>
        <v>1383.9599999999991</v>
      </c>
      <c r="M15" s="32">
        <f t="shared" si="8"/>
        <v>4671</v>
      </c>
      <c r="N15" s="32">
        <f t="shared" si="9"/>
        <v>6054.9599999999991</v>
      </c>
      <c r="O15" s="35">
        <f>1869+3432.45+3795.86+2027.08+2100.7+2056.95</f>
        <v>15282.04</v>
      </c>
      <c r="P15" s="33">
        <f t="shared" si="10"/>
        <v>0</v>
      </c>
      <c r="Q15" s="34">
        <f t="shared" si="1"/>
        <v>0.91695907836313462</v>
      </c>
      <c r="R15" s="34">
        <f t="shared" si="2"/>
        <v>0.71622252425364397</v>
      </c>
      <c r="S15" s="34">
        <f t="shared" si="3"/>
        <v>0.71622252425364397</v>
      </c>
    </row>
    <row r="16" spans="1:21" x14ac:dyDescent="0.2">
      <c r="A16" s="24" t="s">
        <v>38</v>
      </c>
      <c r="B16" s="25" t="s">
        <v>39</v>
      </c>
      <c r="C16" s="26">
        <v>3509</v>
      </c>
      <c r="D16" s="27">
        <v>0</v>
      </c>
      <c r="E16" s="28">
        <v>3509</v>
      </c>
      <c r="F16" s="29">
        <f>219+370</f>
        <v>589</v>
      </c>
      <c r="G16" s="30">
        <f t="shared" si="6"/>
        <v>4098</v>
      </c>
      <c r="H16" s="27">
        <f>(293+293+293+512+293+292+662+292+292)</f>
        <v>3222</v>
      </c>
      <c r="I16" s="27">
        <v>0</v>
      </c>
      <c r="J16" s="27">
        <f>SUM(495+227+236.1+503.7+276.1+277.05+293.05)</f>
        <v>2308</v>
      </c>
      <c r="K16" s="31">
        <f>722.15+235.95+503.7+276.1+277.05+293.05</f>
        <v>2308</v>
      </c>
      <c r="L16" s="32">
        <f t="shared" si="7"/>
        <v>914</v>
      </c>
      <c r="M16" s="32">
        <f t="shared" si="8"/>
        <v>876</v>
      </c>
      <c r="N16" s="32">
        <f t="shared" si="9"/>
        <v>1790</v>
      </c>
      <c r="O16" s="35">
        <f>480.15+495.35+486.3+276.1+277.05</f>
        <v>2014.95</v>
      </c>
      <c r="P16" s="33">
        <f t="shared" si="10"/>
        <v>293.04999999999995</v>
      </c>
      <c r="Q16" s="34">
        <f t="shared" si="1"/>
        <v>0.71632526381129735</v>
      </c>
      <c r="R16" s="34">
        <f t="shared" si="2"/>
        <v>0.56320156173743285</v>
      </c>
      <c r="S16" s="34">
        <f t="shared" si="3"/>
        <v>0.56320156173743285</v>
      </c>
    </row>
    <row r="17" spans="1:237" x14ac:dyDescent="0.2">
      <c r="A17" s="36" t="s">
        <v>40</v>
      </c>
      <c r="B17" s="25" t="s">
        <v>41</v>
      </c>
      <c r="C17" s="27">
        <v>0</v>
      </c>
      <c r="D17" s="27">
        <v>0</v>
      </c>
      <c r="E17" s="27">
        <v>0</v>
      </c>
      <c r="F17" s="29">
        <v>11891</v>
      </c>
      <c r="G17" s="30">
        <f t="shared" si="6"/>
        <v>11891</v>
      </c>
      <c r="H17" s="27">
        <f>(2000+2270+7621)</f>
        <v>11891</v>
      </c>
      <c r="I17" s="27">
        <v>0</v>
      </c>
      <c r="J17" s="27">
        <f>SUM(4270+5550)</f>
        <v>9820</v>
      </c>
      <c r="K17" s="31">
        <v>9820</v>
      </c>
      <c r="L17" s="32">
        <f t="shared" si="7"/>
        <v>2071</v>
      </c>
      <c r="M17" s="32">
        <f t="shared" si="8"/>
        <v>0</v>
      </c>
      <c r="N17" s="32">
        <f t="shared" si="9"/>
        <v>2071</v>
      </c>
      <c r="O17" s="35">
        <f>1182.66+285.69</f>
        <v>1468.3500000000001</v>
      </c>
      <c r="P17" s="33">
        <f t="shared" si="10"/>
        <v>8351.65</v>
      </c>
      <c r="Q17" s="34">
        <f t="shared" si="1"/>
        <v>0.82583466487259272</v>
      </c>
      <c r="R17" s="34">
        <f t="shared" si="2"/>
        <v>0.82583466487259272</v>
      </c>
      <c r="S17" s="34">
        <f t="shared" si="3"/>
        <v>0.82583466487259272</v>
      </c>
    </row>
    <row r="18" spans="1:237" x14ac:dyDescent="0.2">
      <c r="A18" s="36" t="s">
        <v>42</v>
      </c>
      <c r="B18" s="25" t="s">
        <v>43</v>
      </c>
      <c r="C18" s="27">
        <v>0</v>
      </c>
      <c r="D18" s="27">
        <v>0</v>
      </c>
      <c r="E18" s="27">
        <v>0</v>
      </c>
      <c r="F18" s="29">
        <v>364</v>
      </c>
      <c r="G18" s="30">
        <f t="shared" si="6"/>
        <v>364</v>
      </c>
      <c r="H18" s="27">
        <f>(23+341)</f>
        <v>364</v>
      </c>
      <c r="I18" s="27">
        <v>0</v>
      </c>
      <c r="J18" s="27">
        <v>108.47</v>
      </c>
      <c r="K18" s="31">
        <v>108.47</v>
      </c>
      <c r="L18" s="32">
        <f t="shared" si="7"/>
        <v>255.53</v>
      </c>
      <c r="M18" s="32">
        <f t="shared" si="8"/>
        <v>0</v>
      </c>
      <c r="N18" s="32">
        <f t="shared" si="9"/>
        <v>255.53</v>
      </c>
      <c r="O18" s="35">
        <v>6.54</v>
      </c>
      <c r="P18" s="33">
        <f t="shared" si="10"/>
        <v>101.92999999999999</v>
      </c>
      <c r="Q18" s="34">
        <f t="shared" si="1"/>
        <v>0.29799450549450551</v>
      </c>
      <c r="R18" s="34">
        <f t="shared" si="2"/>
        <v>0.29799450549450551</v>
      </c>
      <c r="S18" s="34">
        <f t="shared" si="3"/>
        <v>0.29799450549450551</v>
      </c>
    </row>
    <row r="19" spans="1:237" ht="18" thickBot="1" x14ac:dyDescent="0.25">
      <c r="A19" s="37" t="s">
        <v>44</v>
      </c>
      <c r="B19" s="38" t="s">
        <v>45</v>
      </c>
      <c r="C19" s="27">
        <v>0</v>
      </c>
      <c r="D19" s="27">
        <v>0</v>
      </c>
      <c r="E19" s="27">
        <v>0</v>
      </c>
      <c r="F19" s="29">
        <v>2184</v>
      </c>
      <c r="G19" s="30">
        <f t="shared" si="6"/>
        <v>2184</v>
      </c>
      <c r="H19" s="27">
        <f>(585+368+1231)</f>
        <v>2184</v>
      </c>
      <c r="I19" s="27">
        <v>0</v>
      </c>
      <c r="J19" s="27">
        <f>SUM(949+907.79)</f>
        <v>1856.79</v>
      </c>
      <c r="K19" s="31">
        <v>1856.79</v>
      </c>
      <c r="L19" s="32">
        <f t="shared" si="7"/>
        <v>327.21000000000004</v>
      </c>
      <c r="M19" s="32">
        <f t="shared" si="8"/>
        <v>0</v>
      </c>
      <c r="N19" s="32">
        <f t="shared" si="9"/>
        <v>327.21000000000004</v>
      </c>
      <c r="O19" s="35">
        <f>259.2+1148.78+338.13</f>
        <v>1746.1100000000001</v>
      </c>
      <c r="P19" s="33">
        <f t="shared" si="10"/>
        <v>110.67999999999984</v>
      </c>
      <c r="Q19" s="34">
        <f t="shared" si="1"/>
        <v>0.85017857142857145</v>
      </c>
      <c r="R19" s="34">
        <f t="shared" si="2"/>
        <v>0.85017857142857145</v>
      </c>
      <c r="S19" s="34">
        <f t="shared" si="3"/>
        <v>0.85017857142857145</v>
      </c>
    </row>
    <row r="20" spans="1:237" s="13" customFormat="1" ht="18" thickBot="1" x14ac:dyDescent="0.25">
      <c r="A20" s="39">
        <v>1</v>
      </c>
      <c r="B20" s="40" t="s">
        <v>46</v>
      </c>
      <c r="C20" s="41">
        <f>SUM(C21:C50)</f>
        <v>472457</v>
      </c>
      <c r="D20" s="41">
        <f>SUM(D21:D51)</f>
        <v>0</v>
      </c>
      <c r="E20" s="41">
        <f>SUM(E21:E51)</f>
        <v>472457</v>
      </c>
      <c r="F20" s="42">
        <f>SUM(F21:F51)</f>
        <v>-16226</v>
      </c>
      <c r="G20" s="43">
        <f>SUM(G21:G51)</f>
        <v>456231</v>
      </c>
      <c r="H20" s="41">
        <f t="shared" ref="H20:O20" si="11">SUM(H21:H51)</f>
        <v>443171.5</v>
      </c>
      <c r="I20" s="41">
        <f t="shared" si="11"/>
        <v>80917</v>
      </c>
      <c r="J20" s="41">
        <f t="shared" si="11"/>
        <v>198380.38999999996</v>
      </c>
      <c r="K20" s="41">
        <f>SUM(K21:K51)</f>
        <v>280076.68999999994</v>
      </c>
      <c r="L20" s="41">
        <f t="shared" si="11"/>
        <v>244011.81000000006</v>
      </c>
      <c r="M20" s="41">
        <f t="shared" si="11"/>
        <v>13059.5</v>
      </c>
      <c r="N20" s="41">
        <f t="shared" si="11"/>
        <v>176154.31000000006</v>
      </c>
      <c r="O20" s="41">
        <f t="shared" si="11"/>
        <v>123934.28999999998</v>
      </c>
      <c r="P20" s="44">
        <f t="shared" si="10"/>
        <v>156142.39999999997</v>
      </c>
      <c r="Q20" s="45">
        <f t="shared" si="1"/>
        <v>0.63198262974943098</v>
      </c>
      <c r="R20" s="45">
        <f t="shared" si="2"/>
        <v>0.43482444200416009</v>
      </c>
      <c r="S20" s="45">
        <f t="shared" si="3"/>
        <v>0.61389228263752338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</row>
    <row r="21" spans="1:237" x14ac:dyDescent="0.2">
      <c r="A21" s="47" t="s">
        <v>47</v>
      </c>
      <c r="B21" s="25" t="s">
        <v>48</v>
      </c>
      <c r="C21" s="26">
        <v>170013</v>
      </c>
      <c r="D21" s="27">
        <v>0</v>
      </c>
      <c r="E21" s="28">
        <v>170013</v>
      </c>
      <c r="F21" s="48">
        <f>45130-66425-13085</f>
        <v>-34380</v>
      </c>
      <c r="G21" s="30">
        <f t="shared" ref="G21:G51" si="12">SUM(E21+F21)</f>
        <v>135633</v>
      </c>
      <c r="H21" s="27">
        <f>SUM(110922-1726+54856-15334-13085)</f>
        <v>135633</v>
      </c>
      <c r="I21" s="49">
        <v>80917</v>
      </c>
      <c r="J21" s="27">
        <f>47376+7221</f>
        <v>54597</v>
      </c>
      <c r="K21" s="50">
        <f>(109194+26320+28538-28538)</f>
        <v>135514</v>
      </c>
      <c r="L21" s="32">
        <f>SUM(H21+I21-K21)</f>
        <v>81036</v>
      </c>
      <c r="M21" s="32">
        <f t="shared" ref="M21:M41" si="13">SUM(G21-H21)</f>
        <v>0</v>
      </c>
      <c r="N21" s="32">
        <f t="shared" ref="N21:N51" si="14">SUM(-I21+L21+M21)</f>
        <v>119</v>
      </c>
      <c r="O21" s="27">
        <f>47376+7221</f>
        <v>54597</v>
      </c>
      <c r="P21" s="33">
        <f t="shared" si="10"/>
        <v>80917</v>
      </c>
      <c r="Q21" s="34">
        <f t="shared" si="1"/>
        <v>0.99912263239772037</v>
      </c>
      <c r="R21" s="34">
        <f t="shared" si="2"/>
        <v>0.40253478135851894</v>
      </c>
      <c r="S21" s="34">
        <f t="shared" si="3"/>
        <v>0.99912263239772037</v>
      </c>
    </row>
    <row r="22" spans="1:237" x14ac:dyDescent="0.2">
      <c r="A22" s="24" t="s">
        <v>49</v>
      </c>
      <c r="B22" s="25" t="s">
        <v>50</v>
      </c>
      <c r="C22" s="27">
        <v>0</v>
      </c>
      <c r="D22" s="27">
        <v>0</v>
      </c>
      <c r="E22" s="27">
        <v>0</v>
      </c>
      <c r="F22" s="48">
        <f>SUM(3737-15+4000-2700)</f>
        <v>5022</v>
      </c>
      <c r="G22" s="30">
        <f t="shared" si="12"/>
        <v>5022</v>
      </c>
      <c r="H22" s="27">
        <f>SUM(3737-15+4000-2700)</f>
        <v>5022</v>
      </c>
      <c r="I22" s="27">
        <v>0</v>
      </c>
      <c r="J22" s="27">
        <f>3467-0.2</f>
        <v>3466.8</v>
      </c>
      <c r="K22" s="50">
        <f>(2311.2+1155.6)</f>
        <v>3466.7999999999997</v>
      </c>
      <c r="L22" s="32">
        <f t="shared" ref="L22:L51" si="15">SUM(H22-K22)</f>
        <v>1555.2000000000003</v>
      </c>
      <c r="M22" s="32">
        <f t="shared" si="13"/>
        <v>0</v>
      </c>
      <c r="N22" s="32">
        <f t="shared" si="14"/>
        <v>1555.2000000000003</v>
      </c>
      <c r="O22" s="35">
        <f>577.8+321+642+321+128.4</f>
        <v>1990.2</v>
      </c>
      <c r="P22" s="33">
        <f t="shared" si="10"/>
        <v>1476.5999999999997</v>
      </c>
      <c r="Q22" s="34">
        <f t="shared" si="1"/>
        <v>0.69032258064516128</v>
      </c>
      <c r="R22" s="34">
        <f t="shared" si="2"/>
        <v>0.69032258064516128</v>
      </c>
      <c r="S22" s="34">
        <f t="shared" si="3"/>
        <v>0.69032258064516128</v>
      </c>
    </row>
    <row r="23" spans="1:237" x14ac:dyDescent="0.2">
      <c r="A23" s="24">
        <v>109</v>
      </c>
      <c r="B23" s="25" t="s">
        <v>51</v>
      </c>
      <c r="C23" s="27">
        <v>0</v>
      </c>
      <c r="D23" s="27">
        <v>0</v>
      </c>
      <c r="E23" s="27">
        <v>0</v>
      </c>
      <c r="F23" s="48">
        <v>1000</v>
      </c>
      <c r="G23" s="30">
        <f t="shared" si="12"/>
        <v>1000</v>
      </c>
      <c r="H23" s="27">
        <f>SUM(1000)</f>
        <v>1000</v>
      </c>
      <c r="I23" s="27">
        <v>0</v>
      </c>
      <c r="J23" s="27">
        <v>0</v>
      </c>
      <c r="K23" s="50">
        <v>0</v>
      </c>
      <c r="L23" s="32">
        <f t="shared" si="15"/>
        <v>1000</v>
      </c>
      <c r="M23" s="32">
        <f t="shared" si="13"/>
        <v>0</v>
      </c>
      <c r="N23" s="32">
        <f t="shared" si="14"/>
        <v>1000</v>
      </c>
      <c r="O23" s="35">
        <v>0</v>
      </c>
      <c r="P23" s="33">
        <f t="shared" si="10"/>
        <v>0</v>
      </c>
      <c r="Q23" s="34">
        <f t="shared" si="1"/>
        <v>0</v>
      </c>
      <c r="R23" s="34">
        <f t="shared" si="2"/>
        <v>0</v>
      </c>
      <c r="S23" s="34">
        <f t="shared" si="3"/>
        <v>0</v>
      </c>
    </row>
    <row r="24" spans="1:237" x14ac:dyDescent="0.2">
      <c r="A24" s="36">
        <v>111</v>
      </c>
      <c r="B24" s="25" t="s">
        <v>52</v>
      </c>
      <c r="C24" s="26">
        <v>4530</v>
      </c>
      <c r="D24" s="27">
        <v>0</v>
      </c>
      <c r="E24" s="28">
        <v>4530</v>
      </c>
      <c r="F24" s="48">
        <v>500</v>
      </c>
      <c r="G24" s="30">
        <f t="shared" si="12"/>
        <v>5030</v>
      </c>
      <c r="H24" s="27">
        <f>(377.5+377.5+377.5+877+378+377.5+377.5+377.5+377.5)</f>
        <v>3897.5</v>
      </c>
      <c r="I24" s="27">
        <v>0</v>
      </c>
      <c r="J24" s="26">
        <f>70.04+25.55</f>
        <v>95.59</v>
      </c>
      <c r="K24" s="50">
        <f>70.04+25.55</f>
        <v>95.59</v>
      </c>
      <c r="L24" s="32">
        <f t="shared" si="15"/>
        <v>3801.91</v>
      </c>
      <c r="M24" s="32">
        <f t="shared" si="13"/>
        <v>1132.5</v>
      </c>
      <c r="N24" s="32">
        <f t="shared" si="14"/>
        <v>4934.41</v>
      </c>
      <c r="O24" s="35">
        <v>70.040000000000006</v>
      </c>
      <c r="P24" s="33">
        <f t="shared" si="10"/>
        <v>25.549999999999997</v>
      </c>
      <c r="Q24" s="34">
        <f t="shared" si="1"/>
        <v>2.4525978191148174E-2</v>
      </c>
      <c r="R24" s="34">
        <f t="shared" si="2"/>
        <v>1.9003976143141154E-2</v>
      </c>
      <c r="S24" s="34">
        <f t="shared" si="3"/>
        <v>1.9003976143141154E-2</v>
      </c>
    </row>
    <row r="25" spans="1:237" x14ac:dyDescent="0.2">
      <c r="A25" s="24" t="s">
        <v>53</v>
      </c>
      <c r="B25" s="25" t="s">
        <v>54</v>
      </c>
      <c r="C25" s="26">
        <v>2020</v>
      </c>
      <c r="D25" s="27">
        <v>0</v>
      </c>
      <c r="E25" s="28">
        <v>2020</v>
      </c>
      <c r="F25" s="48">
        <v>0</v>
      </c>
      <c r="G25" s="30">
        <f t="shared" si="12"/>
        <v>2020</v>
      </c>
      <c r="H25" s="27">
        <f>(169+169+169+169+169+169+169+169+168)</f>
        <v>1520</v>
      </c>
      <c r="I25" s="27">
        <v>0</v>
      </c>
      <c r="J25" s="27">
        <v>0</v>
      </c>
      <c r="K25" s="50">
        <v>0</v>
      </c>
      <c r="L25" s="32">
        <f t="shared" si="15"/>
        <v>1520</v>
      </c>
      <c r="M25" s="32">
        <f t="shared" si="13"/>
        <v>500</v>
      </c>
      <c r="N25" s="32">
        <f t="shared" si="14"/>
        <v>2020</v>
      </c>
      <c r="O25" s="35">
        <v>0</v>
      </c>
      <c r="P25" s="33">
        <f t="shared" si="10"/>
        <v>0</v>
      </c>
      <c r="Q25" s="34">
        <f t="shared" si="1"/>
        <v>0</v>
      </c>
      <c r="R25" s="34">
        <f t="shared" si="2"/>
        <v>0</v>
      </c>
      <c r="S25" s="34">
        <f t="shared" si="3"/>
        <v>0</v>
      </c>
    </row>
    <row r="26" spans="1:237" x14ac:dyDescent="0.2">
      <c r="A26" s="24" t="s">
        <v>55</v>
      </c>
      <c r="B26" s="25" t="s">
        <v>56</v>
      </c>
      <c r="C26" s="26">
        <v>704</v>
      </c>
      <c r="D26" s="27">
        <v>0</v>
      </c>
      <c r="E26" s="28">
        <v>704</v>
      </c>
      <c r="F26" s="48">
        <v>0</v>
      </c>
      <c r="G26" s="30">
        <f t="shared" si="12"/>
        <v>704</v>
      </c>
      <c r="H26" s="27">
        <v>704</v>
      </c>
      <c r="I26" s="27">
        <v>0</v>
      </c>
      <c r="J26" s="27">
        <v>0</v>
      </c>
      <c r="K26" s="50">
        <v>0</v>
      </c>
      <c r="L26" s="32">
        <f t="shared" si="15"/>
        <v>704</v>
      </c>
      <c r="M26" s="32">
        <f t="shared" si="13"/>
        <v>0</v>
      </c>
      <c r="N26" s="32">
        <f t="shared" si="14"/>
        <v>704</v>
      </c>
      <c r="O26" s="35">
        <v>0</v>
      </c>
      <c r="P26" s="33">
        <f t="shared" si="10"/>
        <v>0</v>
      </c>
      <c r="Q26" s="34">
        <f t="shared" si="1"/>
        <v>0</v>
      </c>
      <c r="R26" s="34">
        <f t="shared" si="2"/>
        <v>0</v>
      </c>
      <c r="S26" s="34">
        <f t="shared" si="3"/>
        <v>0</v>
      </c>
    </row>
    <row r="27" spans="1:237" x14ac:dyDescent="0.2">
      <c r="A27" s="24" t="s">
        <v>57</v>
      </c>
      <c r="B27" s="25" t="s">
        <v>58</v>
      </c>
      <c r="C27" s="26">
        <v>48360</v>
      </c>
      <c r="D27" s="27">
        <v>0</v>
      </c>
      <c r="E27" s="28">
        <f>SUM(C27+D27)</f>
        <v>48360</v>
      </c>
      <c r="F27" s="48">
        <f>2000+1000-25000</f>
        <v>-22000</v>
      </c>
      <c r="G27" s="30">
        <f t="shared" si="12"/>
        <v>26360</v>
      </c>
      <c r="H27" s="27">
        <f>SUM(3210+3200+4860+1000+6030)</f>
        <v>18300</v>
      </c>
      <c r="I27" s="27">
        <v>0</v>
      </c>
      <c r="J27" s="26">
        <f>SUM(2714.08+1638.66+1651.01+1610.86+2029.96+1613.9+1840.68)</f>
        <v>13099.15</v>
      </c>
      <c r="K27" s="50">
        <f>4352.74+1651.01+1610.86+2029.96+1613.9+1840.68</f>
        <v>13099.15</v>
      </c>
      <c r="L27" s="32">
        <f t="shared" si="15"/>
        <v>5200.8500000000004</v>
      </c>
      <c r="M27" s="32">
        <f t="shared" si="13"/>
        <v>8060</v>
      </c>
      <c r="N27" s="32">
        <f t="shared" si="14"/>
        <v>13260.85</v>
      </c>
      <c r="O27" s="35">
        <f>2714.08+1638.66+3261.87+2029.96+1613.9</f>
        <v>11258.47</v>
      </c>
      <c r="P27" s="33">
        <f t="shared" si="10"/>
        <v>1840.6800000000003</v>
      </c>
      <c r="Q27" s="34">
        <f t="shared" si="1"/>
        <v>0.71580054644808744</v>
      </c>
      <c r="R27" s="34">
        <f t="shared" si="2"/>
        <v>0.49693285280728378</v>
      </c>
      <c r="S27" s="34">
        <f t="shared" si="3"/>
        <v>0.49693285280728378</v>
      </c>
    </row>
    <row r="28" spans="1:237" x14ac:dyDescent="0.2">
      <c r="A28" s="24" t="s">
        <v>59</v>
      </c>
      <c r="B28" s="25" t="s">
        <v>60</v>
      </c>
      <c r="C28" s="26">
        <v>40400</v>
      </c>
      <c r="D28" s="27">
        <v>0</v>
      </c>
      <c r="E28" s="28">
        <f>SUM(C28+D28)</f>
        <v>40400</v>
      </c>
      <c r="F28" s="48">
        <f>500-25000</f>
        <v>-24500</v>
      </c>
      <c r="G28" s="30">
        <f t="shared" si="12"/>
        <v>15900</v>
      </c>
      <c r="H28" s="27">
        <f>SUM(5299+500+5939+795)</f>
        <v>12533</v>
      </c>
      <c r="I28" s="27">
        <v>0</v>
      </c>
      <c r="J28" s="26">
        <f>SUM(3214.4+1430+1418.74+1407.12+1436.44+1590.98+1764.48)</f>
        <v>12262.159999999998</v>
      </c>
      <c r="K28" s="50">
        <f>4644.4+1418.74+1419.4+1424.16+1590.98+1764.48</f>
        <v>12262.159999999998</v>
      </c>
      <c r="L28" s="32">
        <f t="shared" si="15"/>
        <v>270.84000000000196</v>
      </c>
      <c r="M28" s="32">
        <f t="shared" si="13"/>
        <v>3367</v>
      </c>
      <c r="N28" s="32">
        <f t="shared" si="14"/>
        <v>3637.840000000002</v>
      </c>
      <c r="O28" s="35">
        <f>3214.4+1430+2825.86+1436.44+1590.98+1764.48</f>
        <v>12262.16</v>
      </c>
      <c r="P28" s="33">
        <f t="shared" si="10"/>
        <v>-1.8189894035458565E-12</v>
      </c>
      <c r="Q28" s="34">
        <f t="shared" si="1"/>
        <v>0.97838985079390395</v>
      </c>
      <c r="R28" s="34">
        <f t="shared" si="2"/>
        <v>0.77120503144654073</v>
      </c>
      <c r="S28" s="34">
        <f t="shared" si="3"/>
        <v>0.77120503144654073</v>
      </c>
    </row>
    <row r="29" spans="1:237" x14ac:dyDescent="0.2">
      <c r="A29" s="36" t="s">
        <v>61</v>
      </c>
      <c r="B29" s="25" t="s">
        <v>62</v>
      </c>
      <c r="C29" s="27">
        <v>29828</v>
      </c>
      <c r="D29" s="27">
        <v>0</v>
      </c>
      <c r="E29" s="28">
        <f>SUM(C29+D29)</f>
        <v>29828</v>
      </c>
      <c r="F29" s="48">
        <f>1000-6773</f>
        <v>-5773</v>
      </c>
      <c r="G29" s="30">
        <f t="shared" si="12"/>
        <v>24055</v>
      </c>
      <c r="H29" s="27">
        <f>SUM(1093+983+21979)</f>
        <v>24055</v>
      </c>
      <c r="I29" s="27">
        <v>0</v>
      </c>
      <c r="J29" s="27">
        <f>SUM(1075.2)</f>
        <v>1075.2</v>
      </c>
      <c r="K29" s="50">
        <v>1075.2</v>
      </c>
      <c r="L29" s="32">
        <f t="shared" si="15"/>
        <v>22979.8</v>
      </c>
      <c r="M29" s="32">
        <f t="shared" si="13"/>
        <v>0</v>
      </c>
      <c r="N29" s="32">
        <f t="shared" si="14"/>
        <v>22979.8</v>
      </c>
      <c r="O29" s="35">
        <f>448+179.2</f>
        <v>627.20000000000005</v>
      </c>
      <c r="P29" s="33">
        <f t="shared" si="10"/>
        <v>448</v>
      </c>
      <c r="Q29" s="34">
        <f t="shared" si="1"/>
        <v>4.4697568073165661E-2</v>
      </c>
      <c r="R29" s="34">
        <f t="shared" si="2"/>
        <v>4.4697568073165661E-2</v>
      </c>
      <c r="S29" s="34">
        <f t="shared" si="3"/>
        <v>4.4697568073165661E-2</v>
      </c>
    </row>
    <row r="30" spans="1:237" x14ac:dyDescent="0.2">
      <c r="A30" s="36">
        <v>117</v>
      </c>
      <c r="B30" s="25" t="s">
        <v>63</v>
      </c>
      <c r="C30" s="27">
        <v>12448</v>
      </c>
      <c r="D30" s="27">
        <v>0</v>
      </c>
      <c r="E30" s="28">
        <f>SUM(C30+D30)</f>
        <v>12448</v>
      </c>
      <c r="F30" s="48">
        <f>-2000-8714</f>
        <v>-10714</v>
      </c>
      <c r="G30" s="30">
        <f t="shared" si="12"/>
        <v>1734</v>
      </c>
      <c r="H30" s="27">
        <f>SUM(3734-2000)</f>
        <v>1734</v>
      </c>
      <c r="I30" s="27">
        <v>0</v>
      </c>
      <c r="J30" s="26">
        <v>1733.4</v>
      </c>
      <c r="K30" s="50">
        <f>(1733.4)</f>
        <v>1733.4</v>
      </c>
      <c r="L30" s="32">
        <f t="shared" si="15"/>
        <v>0.59999999999990905</v>
      </c>
      <c r="M30" s="32">
        <f t="shared" si="13"/>
        <v>0</v>
      </c>
      <c r="N30" s="32">
        <f t="shared" si="14"/>
        <v>0.59999999999990905</v>
      </c>
      <c r="O30" s="35">
        <f>722.25+144.45+144.45</f>
        <v>1011.1500000000001</v>
      </c>
      <c r="P30" s="33">
        <f t="shared" si="10"/>
        <v>722.25</v>
      </c>
      <c r="Q30" s="34">
        <f t="shared" si="1"/>
        <v>0.99965397923875443</v>
      </c>
      <c r="R30" s="34">
        <f t="shared" si="2"/>
        <v>0.99965397923875443</v>
      </c>
      <c r="S30" s="34">
        <f t="shared" si="3"/>
        <v>0.99965397923875443</v>
      </c>
    </row>
    <row r="31" spans="1:237" ht="34" x14ac:dyDescent="0.2">
      <c r="A31" s="36" t="s">
        <v>64</v>
      </c>
      <c r="B31" s="38" t="s">
        <v>65</v>
      </c>
      <c r="C31" s="27">
        <v>42440</v>
      </c>
      <c r="D31" s="27">
        <v>0</v>
      </c>
      <c r="E31" s="27">
        <v>42440</v>
      </c>
      <c r="F31" s="48">
        <f>-1000-10000</f>
        <v>-11000</v>
      </c>
      <c r="G31" s="30">
        <f t="shared" si="12"/>
        <v>31440</v>
      </c>
      <c r="H31" s="27">
        <f>SUM(24000+440-1000+18000-10000)</f>
        <v>31440</v>
      </c>
      <c r="I31" s="27">
        <v>0</v>
      </c>
      <c r="J31" s="27">
        <f>8120-120</f>
        <v>8000</v>
      </c>
      <c r="K31" s="50">
        <f>8120-120</f>
        <v>8000</v>
      </c>
      <c r="L31" s="32">
        <f t="shared" si="15"/>
        <v>23440</v>
      </c>
      <c r="M31" s="32">
        <f t="shared" si="13"/>
        <v>0</v>
      </c>
      <c r="N31" s="32">
        <f t="shared" si="14"/>
        <v>23440</v>
      </c>
      <c r="O31" s="35">
        <v>0</v>
      </c>
      <c r="P31" s="33">
        <f t="shared" si="10"/>
        <v>8000</v>
      </c>
      <c r="Q31" s="34">
        <f t="shared" si="1"/>
        <v>0.2544529262086514</v>
      </c>
      <c r="R31" s="34">
        <f t="shared" si="2"/>
        <v>0.2544529262086514</v>
      </c>
      <c r="S31" s="34">
        <f t="shared" si="3"/>
        <v>0.2544529262086514</v>
      </c>
    </row>
    <row r="32" spans="1:237" ht="17" x14ac:dyDescent="0.2">
      <c r="A32" s="36">
        <v>131</v>
      </c>
      <c r="B32" s="38" t="s">
        <v>66</v>
      </c>
      <c r="C32" s="27">
        <v>0</v>
      </c>
      <c r="D32" s="27">
        <v>0</v>
      </c>
      <c r="E32" s="27">
        <v>0</v>
      </c>
      <c r="F32" s="48">
        <v>2173</v>
      </c>
      <c r="G32" s="30">
        <f t="shared" si="12"/>
        <v>2173</v>
      </c>
      <c r="H32" s="27">
        <f>SUM(2173)</f>
        <v>2173</v>
      </c>
      <c r="I32" s="27">
        <v>0</v>
      </c>
      <c r="J32" s="27">
        <v>0</v>
      </c>
      <c r="K32" s="50">
        <v>0</v>
      </c>
      <c r="L32" s="32">
        <f t="shared" si="15"/>
        <v>2173</v>
      </c>
      <c r="M32" s="32">
        <f t="shared" si="13"/>
        <v>0</v>
      </c>
      <c r="N32" s="32">
        <f t="shared" si="14"/>
        <v>2173</v>
      </c>
      <c r="O32" s="35">
        <v>0</v>
      </c>
      <c r="P32" s="33">
        <f t="shared" si="10"/>
        <v>0</v>
      </c>
      <c r="Q32" s="34">
        <f t="shared" si="1"/>
        <v>0</v>
      </c>
      <c r="R32" s="34">
        <f t="shared" si="2"/>
        <v>0</v>
      </c>
      <c r="S32" s="34">
        <f t="shared" si="3"/>
        <v>0</v>
      </c>
    </row>
    <row r="33" spans="1:19" x14ac:dyDescent="0.2">
      <c r="A33" s="24" t="s">
        <v>67</v>
      </c>
      <c r="B33" s="25" t="s">
        <v>68</v>
      </c>
      <c r="C33" s="26">
        <v>20221</v>
      </c>
      <c r="D33" s="27">
        <v>0</v>
      </c>
      <c r="E33" s="28">
        <v>20221</v>
      </c>
      <c r="F33" s="48">
        <v>7000</v>
      </c>
      <c r="G33" s="30">
        <f t="shared" si="12"/>
        <v>27221</v>
      </c>
      <c r="H33" s="27">
        <f>SUM(7000+10100+10121)</f>
        <v>27221</v>
      </c>
      <c r="I33" s="27">
        <v>0</v>
      </c>
      <c r="J33" s="27">
        <v>3576.88</v>
      </c>
      <c r="K33" s="50">
        <f>17100-13523.12+267.5</f>
        <v>3844.3799999999992</v>
      </c>
      <c r="L33" s="32">
        <f t="shared" si="15"/>
        <v>23376.620000000003</v>
      </c>
      <c r="M33" s="32">
        <f t="shared" si="13"/>
        <v>0</v>
      </c>
      <c r="N33" s="32">
        <f t="shared" si="14"/>
        <v>23376.620000000003</v>
      </c>
      <c r="O33" s="27">
        <v>0</v>
      </c>
      <c r="P33" s="33">
        <f t="shared" si="10"/>
        <v>3844.3799999999992</v>
      </c>
      <c r="Q33" s="34">
        <f t="shared" si="1"/>
        <v>0.14122846331876121</v>
      </c>
      <c r="R33" s="34">
        <f t="shared" si="2"/>
        <v>0.13140149149553654</v>
      </c>
      <c r="S33" s="34">
        <f t="shared" si="3"/>
        <v>0.14122846331876121</v>
      </c>
    </row>
    <row r="34" spans="1:19" x14ac:dyDescent="0.2">
      <c r="A34" s="24">
        <v>141</v>
      </c>
      <c r="B34" s="25" t="s">
        <v>69</v>
      </c>
      <c r="C34" s="27">
        <v>0</v>
      </c>
      <c r="D34" s="27">
        <v>0</v>
      </c>
      <c r="E34" s="27">
        <v>0</v>
      </c>
      <c r="F34" s="48">
        <f>2450+1000</f>
        <v>3450</v>
      </c>
      <c r="G34" s="30">
        <f t="shared" si="12"/>
        <v>3450</v>
      </c>
      <c r="H34" s="27">
        <f>SUM(2450+1000)</f>
        <v>3450</v>
      </c>
      <c r="I34" s="27">
        <v>0</v>
      </c>
      <c r="J34" s="27">
        <f>1137+112+18+90-36</f>
        <v>1321</v>
      </c>
      <c r="K34" s="50">
        <f>1142-112+224+18+90-36</f>
        <v>1326</v>
      </c>
      <c r="L34" s="32">
        <f t="shared" si="15"/>
        <v>2124</v>
      </c>
      <c r="M34" s="32">
        <f t="shared" si="13"/>
        <v>0</v>
      </c>
      <c r="N34" s="32">
        <f t="shared" si="14"/>
        <v>2124</v>
      </c>
      <c r="O34" s="27">
        <f>468+582+106</f>
        <v>1156</v>
      </c>
      <c r="P34" s="33">
        <f t="shared" si="10"/>
        <v>170</v>
      </c>
      <c r="Q34" s="34">
        <f t="shared" si="1"/>
        <v>0.3843478260869565</v>
      </c>
      <c r="R34" s="34">
        <f t="shared" si="2"/>
        <v>0.38289855072463769</v>
      </c>
      <c r="S34" s="34">
        <f t="shared" si="3"/>
        <v>0.3843478260869565</v>
      </c>
    </row>
    <row r="35" spans="1:19" x14ac:dyDescent="0.2">
      <c r="A35" s="24" t="s">
        <v>70</v>
      </c>
      <c r="B35" s="25" t="s">
        <v>71</v>
      </c>
      <c r="C35" s="26">
        <v>31765</v>
      </c>
      <c r="D35" s="27">
        <v>0</v>
      </c>
      <c r="E35" s="28">
        <v>31765</v>
      </c>
      <c r="F35" s="48">
        <f>-11212-10000</f>
        <v>-21212</v>
      </c>
      <c r="G35" s="30">
        <f t="shared" si="12"/>
        <v>10553</v>
      </c>
      <c r="H35" s="27">
        <f>SUM(10000+11765-11212)</f>
        <v>10553</v>
      </c>
      <c r="I35" s="27">
        <v>0</v>
      </c>
      <c r="J35" s="27">
        <v>0</v>
      </c>
      <c r="K35" s="50">
        <f>2000-2000</f>
        <v>0</v>
      </c>
      <c r="L35" s="32">
        <f t="shared" si="15"/>
        <v>10553</v>
      </c>
      <c r="M35" s="32">
        <f t="shared" si="13"/>
        <v>0</v>
      </c>
      <c r="N35" s="32">
        <f t="shared" si="14"/>
        <v>10553</v>
      </c>
      <c r="O35" s="35">
        <v>0</v>
      </c>
      <c r="P35" s="33">
        <f t="shared" si="10"/>
        <v>0</v>
      </c>
      <c r="Q35" s="34">
        <f t="shared" si="1"/>
        <v>0</v>
      </c>
      <c r="R35" s="34">
        <f t="shared" si="2"/>
        <v>0</v>
      </c>
      <c r="S35" s="34">
        <f t="shared" si="3"/>
        <v>0</v>
      </c>
    </row>
    <row r="36" spans="1:19" x14ac:dyDescent="0.2">
      <c r="A36" s="36" t="s">
        <v>72</v>
      </c>
      <c r="B36" s="25" t="s">
        <v>73</v>
      </c>
      <c r="C36" s="26">
        <v>13362</v>
      </c>
      <c r="D36" s="27">
        <v>0</v>
      </c>
      <c r="E36" s="28">
        <v>13362</v>
      </c>
      <c r="F36" s="48">
        <f>4000-4887-8000</f>
        <v>-8887</v>
      </c>
      <c r="G36" s="30">
        <f t="shared" si="12"/>
        <v>4475</v>
      </c>
      <c r="H36" s="27">
        <f>SUM(1000+7000-4887+5000-3638)</f>
        <v>4475</v>
      </c>
      <c r="I36" s="27">
        <v>0</v>
      </c>
      <c r="J36" s="26">
        <f>492+60-50+288.77-5</f>
        <v>785.77</v>
      </c>
      <c r="K36" s="50">
        <f>549+60-50+288.77-5</f>
        <v>842.77</v>
      </c>
      <c r="L36" s="32">
        <f t="shared" si="15"/>
        <v>3632.23</v>
      </c>
      <c r="M36" s="32">
        <f t="shared" si="13"/>
        <v>0</v>
      </c>
      <c r="N36" s="32">
        <f t="shared" si="14"/>
        <v>3632.23</v>
      </c>
      <c r="O36" s="35">
        <f>15+182+10</f>
        <v>207</v>
      </c>
      <c r="P36" s="33">
        <f t="shared" si="10"/>
        <v>635.77</v>
      </c>
      <c r="Q36" s="34">
        <f t="shared" si="1"/>
        <v>0.18832849162011173</v>
      </c>
      <c r="R36" s="34">
        <f t="shared" si="2"/>
        <v>0.17559106145251396</v>
      </c>
      <c r="S36" s="34">
        <f t="shared" si="3"/>
        <v>0.18832849162011173</v>
      </c>
    </row>
    <row r="37" spans="1:19" x14ac:dyDescent="0.2">
      <c r="A37" s="36">
        <v>153</v>
      </c>
      <c r="B37" s="25" t="s">
        <v>74</v>
      </c>
      <c r="C37" s="27">
        <v>0</v>
      </c>
      <c r="D37" s="27">
        <v>0</v>
      </c>
      <c r="E37" s="27">
        <v>0</v>
      </c>
      <c r="F37" s="48">
        <f>3000-3000</f>
        <v>0</v>
      </c>
      <c r="G37" s="30">
        <f t="shared" si="12"/>
        <v>0</v>
      </c>
      <c r="H37" s="27">
        <f>SUM(3000-3000)</f>
        <v>0</v>
      </c>
      <c r="I37" s="27">
        <v>0</v>
      </c>
      <c r="J37" s="26">
        <v>0</v>
      </c>
      <c r="K37" s="50">
        <v>0</v>
      </c>
      <c r="L37" s="32">
        <f t="shared" si="15"/>
        <v>0</v>
      </c>
      <c r="M37" s="32">
        <f t="shared" si="13"/>
        <v>0</v>
      </c>
      <c r="N37" s="32">
        <f t="shared" si="14"/>
        <v>0</v>
      </c>
      <c r="O37" s="35">
        <v>0</v>
      </c>
      <c r="P37" s="33">
        <f t="shared" si="10"/>
        <v>0</v>
      </c>
      <c r="Q37" s="34">
        <v>0</v>
      </c>
      <c r="R37" s="34">
        <v>0</v>
      </c>
      <c r="S37" s="34">
        <v>0</v>
      </c>
    </row>
    <row r="38" spans="1:19" x14ac:dyDescent="0.2">
      <c r="A38" s="36">
        <v>154</v>
      </c>
      <c r="B38" s="25" t="s">
        <v>75</v>
      </c>
      <c r="C38" s="27">
        <v>0</v>
      </c>
      <c r="D38" s="27">
        <v>0</v>
      </c>
      <c r="E38" s="27">
        <v>0</v>
      </c>
      <c r="F38" s="48">
        <v>1000</v>
      </c>
      <c r="G38" s="30">
        <f t="shared" si="12"/>
        <v>1000</v>
      </c>
      <c r="H38" s="27">
        <f>SUM(1000)</f>
        <v>1000</v>
      </c>
      <c r="I38" s="27">
        <v>0</v>
      </c>
      <c r="J38" s="26">
        <f>170.66+12.85-13+0.15+38.85-12</f>
        <v>197.51</v>
      </c>
      <c r="K38" s="50">
        <f>175.66+38.85-12</f>
        <v>202.51</v>
      </c>
      <c r="L38" s="32">
        <f t="shared" si="15"/>
        <v>797.49</v>
      </c>
      <c r="M38" s="32">
        <f t="shared" si="13"/>
        <v>0</v>
      </c>
      <c r="N38" s="32">
        <f t="shared" si="14"/>
        <v>797.49</v>
      </c>
      <c r="O38" s="35">
        <v>170.66</v>
      </c>
      <c r="P38" s="33">
        <f t="shared" si="10"/>
        <v>31.849999999999994</v>
      </c>
      <c r="Q38" s="34">
        <f t="shared" ref="Q38:Q87" si="16">SUM(K38/H38*100%)</f>
        <v>0.20251</v>
      </c>
      <c r="R38" s="34">
        <f t="shared" ref="R38:R87" si="17">SUM(J38/G38*100%)</f>
        <v>0.19750999999999999</v>
      </c>
      <c r="S38" s="34">
        <f t="shared" ref="S38:S65" si="18">SUM(K38/G38*100%)</f>
        <v>0.20251</v>
      </c>
    </row>
    <row r="39" spans="1:19" x14ac:dyDescent="0.2">
      <c r="A39" s="24" t="s">
        <v>76</v>
      </c>
      <c r="B39" s="25" t="s">
        <v>77</v>
      </c>
      <c r="C39" s="26">
        <v>8735</v>
      </c>
      <c r="D39" s="27">
        <v>0</v>
      </c>
      <c r="E39" s="28">
        <v>8735</v>
      </c>
      <c r="F39" s="48">
        <f>-1774-3500</f>
        <v>-5274</v>
      </c>
      <c r="G39" s="30">
        <f t="shared" si="12"/>
        <v>3461</v>
      </c>
      <c r="H39" s="27">
        <f>SUM(2621+605+2000-1765)</f>
        <v>3461</v>
      </c>
      <c r="I39" s="27">
        <v>0</v>
      </c>
      <c r="J39" s="27">
        <f>379.75+1343.43</f>
        <v>1723.18</v>
      </c>
      <c r="K39" s="50">
        <f>1723.18</f>
        <v>1723.18</v>
      </c>
      <c r="L39" s="32">
        <f t="shared" si="15"/>
        <v>1737.82</v>
      </c>
      <c r="M39" s="32">
        <f t="shared" si="13"/>
        <v>0</v>
      </c>
      <c r="N39" s="32">
        <f t="shared" si="14"/>
        <v>1737.82</v>
      </c>
      <c r="O39" s="35">
        <v>0</v>
      </c>
      <c r="P39" s="33">
        <f t="shared" si="10"/>
        <v>1723.18</v>
      </c>
      <c r="Q39" s="34">
        <f t="shared" si="16"/>
        <v>0.49788500433400751</v>
      </c>
      <c r="R39" s="34">
        <f t="shared" si="17"/>
        <v>0.49788500433400751</v>
      </c>
      <c r="S39" s="34">
        <f t="shared" si="18"/>
        <v>0.49788500433400751</v>
      </c>
    </row>
    <row r="40" spans="1:19" x14ac:dyDescent="0.2">
      <c r="A40" s="24">
        <v>165</v>
      </c>
      <c r="B40" s="25" t="s">
        <v>78</v>
      </c>
      <c r="C40" s="27">
        <v>0</v>
      </c>
      <c r="D40" s="27">
        <v>0</v>
      </c>
      <c r="E40" s="27">
        <v>0</v>
      </c>
      <c r="F40" s="48">
        <f>25965-9844+8000+6000</f>
        <v>30121</v>
      </c>
      <c r="G40" s="30">
        <f t="shared" si="12"/>
        <v>30121</v>
      </c>
      <c r="H40" s="27">
        <f>SUM(20115+5850-9844+8000+6000)</f>
        <v>30121</v>
      </c>
      <c r="I40" s="27">
        <v>0</v>
      </c>
      <c r="J40" s="26">
        <f>SUM(13060.53+2058.1+518.95+16.05+3750.72-15-0.25+10265.25)</f>
        <v>29654.350000000002</v>
      </c>
      <c r="K40" s="51">
        <f>15118.63+518.95+433.35+3750.72-15+10265</f>
        <v>30071.65</v>
      </c>
      <c r="L40" s="32">
        <f t="shared" si="15"/>
        <v>49.349999999998545</v>
      </c>
      <c r="M40" s="32">
        <f t="shared" si="13"/>
        <v>0</v>
      </c>
      <c r="N40" s="32">
        <f t="shared" si="14"/>
        <v>49.349999999998545</v>
      </c>
      <c r="O40" s="35">
        <f>2431.46+1215.73+1107.45+1107.45+3700.55+1107.45</f>
        <v>10670.09</v>
      </c>
      <c r="P40" s="33">
        <f t="shared" si="10"/>
        <v>19401.560000000001</v>
      </c>
      <c r="Q40" s="34">
        <f t="shared" si="16"/>
        <v>0.99836160818033937</v>
      </c>
      <c r="R40" s="34">
        <f t="shared" si="17"/>
        <v>0.98450748647123276</v>
      </c>
      <c r="S40" s="34">
        <f t="shared" si="18"/>
        <v>0.99836160818033937</v>
      </c>
    </row>
    <row r="41" spans="1:19" x14ac:dyDescent="0.2">
      <c r="A41" s="24" t="s">
        <v>79</v>
      </c>
      <c r="B41" s="25" t="s">
        <v>80</v>
      </c>
      <c r="C41" s="26">
        <v>6000</v>
      </c>
      <c r="D41" s="27">
        <v>0</v>
      </c>
      <c r="E41" s="28">
        <v>6000</v>
      </c>
      <c r="F41" s="48">
        <f>SUM(947+1920+9844+10200)</f>
        <v>22911</v>
      </c>
      <c r="G41" s="30">
        <f t="shared" si="12"/>
        <v>28911</v>
      </c>
      <c r="H41" s="27">
        <f>SUM(6947+1920+9844+10200)</f>
        <v>28911</v>
      </c>
      <c r="I41" s="27">
        <v>0</v>
      </c>
      <c r="J41" s="26">
        <f>SUM(5264.11+355.01+9330.4+92.3+529.27+10647.28-170+600.41-66-0.1)</f>
        <v>26582.680000000004</v>
      </c>
      <c r="K41" s="50">
        <f>5619.12+9330.4+165.34+529.27+10574.24-170+600.41-66-0.1</f>
        <v>26582.680000000004</v>
      </c>
      <c r="L41" s="32">
        <f t="shared" si="15"/>
        <v>2328.3199999999961</v>
      </c>
      <c r="M41" s="32">
        <f t="shared" si="13"/>
        <v>0</v>
      </c>
      <c r="N41" s="32">
        <f t="shared" si="14"/>
        <v>2328.3199999999961</v>
      </c>
      <c r="O41" s="35">
        <f>1582.23+118.54+1441.67+866.7</f>
        <v>4009.1400000000003</v>
      </c>
      <c r="P41" s="33">
        <f t="shared" si="10"/>
        <v>22573.540000000005</v>
      </c>
      <c r="Q41" s="34">
        <f t="shared" si="16"/>
        <v>0.91946594721732222</v>
      </c>
      <c r="R41" s="34">
        <f t="shared" si="17"/>
        <v>0.91946594721732222</v>
      </c>
      <c r="S41" s="34">
        <f t="shared" si="18"/>
        <v>0.91946594721732222</v>
      </c>
    </row>
    <row r="42" spans="1:19" x14ac:dyDescent="0.2">
      <c r="A42" s="24">
        <v>171</v>
      </c>
      <c r="B42" s="25" t="s">
        <v>81</v>
      </c>
      <c r="C42" s="27">
        <v>0</v>
      </c>
      <c r="D42" s="27">
        <v>0</v>
      </c>
      <c r="E42" s="27">
        <v>0</v>
      </c>
      <c r="F42" s="48">
        <v>15000</v>
      </c>
      <c r="G42" s="30">
        <f t="shared" si="12"/>
        <v>15000</v>
      </c>
      <c r="H42" s="27">
        <v>15000</v>
      </c>
      <c r="I42" s="27"/>
      <c r="J42" s="26"/>
      <c r="K42" s="50"/>
      <c r="L42" s="32">
        <f t="shared" si="15"/>
        <v>15000</v>
      </c>
      <c r="M42" s="32"/>
      <c r="N42" s="32">
        <f t="shared" si="14"/>
        <v>15000</v>
      </c>
      <c r="O42" s="35"/>
      <c r="P42" s="33">
        <f t="shared" si="10"/>
        <v>0</v>
      </c>
      <c r="Q42" s="34">
        <f t="shared" si="16"/>
        <v>0</v>
      </c>
      <c r="R42" s="34">
        <f t="shared" si="17"/>
        <v>0</v>
      </c>
      <c r="S42" s="34">
        <f t="shared" si="18"/>
        <v>0</v>
      </c>
    </row>
    <row r="43" spans="1:19" x14ac:dyDescent="0.2">
      <c r="A43" s="24" t="s">
        <v>82</v>
      </c>
      <c r="B43" s="25" t="s">
        <v>83</v>
      </c>
      <c r="C43" s="26">
        <v>36000</v>
      </c>
      <c r="D43" s="27">
        <v>0</v>
      </c>
      <c r="E43" s="28">
        <v>36000</v>
      </c>
      <c r="F43" s="48">
        <f>1015-500</f>
        <v>515</v>
      </c>
      <c r="G43" s="30">
        <f t="shared" si="12"/>
        <v>36515</v>
      </c>
      <c r="H43" s="27">
        <f>SUM(46800-10800+1015-500)</f>
        <v>36515</v>
      </c>
      <c r="I43" s="27">
        <v>0</v>
      </c>
      <c r="J43" s="26">
        <v>36000</v>
      </c>
      <c r="K43" s="50">
        <f>(36000)</f>
        <v>36000</v>
      </c>
      <c r="L43" s="32">
        <f t="shared" si="15"/>
        <v>515</v>
      </c>
      <c r="M43" s="32">
        <f t="shared" ref="M43:M51" si="19">SUM(G43-H43)</f>
        <v>0</v>
      </c>
      <c r="N43" s="32">
        <f t="shared" si="14"/>
        <v>515</v>
      </c>
      <c r="O43" s="35">
        <f>9000+6000+3000+3000+3000</f>
        <v>24000</v>
      </c>
      <c r="P43" s="33">
        <f t="shared" si="10"/>
        <v>12000</v>
      </c>
      <c r="Q43" s="34">
        <f t="shared" si="16"/>
        <v>0.98589620703820346</v>
      </c>
      <c r="R43" s="34">
        <f t="shared" si="17"/>
        <v>0.98589620703820346</v>
      </c>
      <c r="S43" s="34">
        <f t="shared" si="18"/>
        <v>0.98589620703820346</v>
      </c>
    </row>
    <row r="44" spans="1:19" x14ac:dyDescent="0.2">
      <c r="A44" s="24" t="s">
        <v>84</v>
      </c>
      <c r="B44" s="25" t="s">
        <v>85</v>
      </c>
      <c r="C44" s="26">
        <v>3000</v>
      </c>
      <c r="D44" s="27">
        <v>0</v>
      </c>
      <c r="E44" s="28">
        <v>3000</v>
      </c>
      <c r="F44" s="48">
        <v>-1000</v>
      </c>
      <c r="G44" s="30">
        <f t="shared" si="12"/>
        <v>2000</v>
      </c>
      <c r="H44" s="27">
        <f>SUM(1500+500)</f>
        <v>2000</v>
      </c>
      <c r="I44" s="27">
        <v>0</v>
      </c>
      <c r="J44" s="35">
        <v>363.8</v>
      </c>
      <c r="K44" s="50">
        <v>363.8</v>
      </c>
      <c r="L44" s="32">
        <f t="shared" si="15"/>
        <v>1636.2</v>
      </c>
      <c r="M44" s="32">
        <f t="shared" si="19"/>
        <v>0</v>
      </c>
      <c r="N44" s="32">
        <f t="shared" si="14"/>
        <v>1636.2</v>
      </c>
      <c r="O44" s="35">
        <f>363.8</f>
        <v>363.8</v>
      </c>
      <c r="P44" s="33">
        <f t="shared" si="10"/>
        <v>0</v>
      </c>
      <c r="Q44" s="34">
        <f t="shared" si="16"/>
        <v>0.18190000000000001</v>
      </c>
      <c r="R44" s="34">
        <f t="shared" si="17"/>
        <v>0.18190000000000001</v>
      </c>
      <c r="S44" s="34">
        <f t="shared" si="18"/>
        <v>0.18190000000000001</v>
      </c>
    </row>
    <row r="45" spans="1:19" x14ac:dyDescent="0.2">
      <c r="A45" s="36" t="s">
        <v>86</v>
      </c>
      <c r="B45" s="25" t="s">
        <v>87</v>
      </c>
      <c r="C45" s="27">
        <v>2631</v>
      </c>
      <c r="D45" s="27">
        <v>0</v>
      </c>
      <c r="E45" s="27">
        <v>2631</v>
      </c>
      <c r="F45" s="48">
        <f>-2000+4419-3000</f>
        <v>-581</v>
      </c>
      <c r="G45" s="30">
        <f t="shared" si="12"/>
        <v>2050</v>
      </c>
      <c r="H45" s="27">
        <f>SUM(2631-2000+4419-3000)</f>
        <v>2050</v>
      </c>
      <c r="I45" s="27">
        <v>0</v>
      </c>
      <c r="J45" s="35">
        <f>95.71+17.12+138.78</f>
        <v>251.61</v>
      </c>
      <c r="K45" s="50">
        <f>95.71+17.12+166.28</f>
        <v>279.11</v>
      </c>
      <c r="L45" s="32">
        <f t="shared" si="15"/>
        <v>1770.8899999999999</v>
      </c>
      <c r="M45" s="32">
        <f t="shared" si="19"/>
        <v>0</v>
      </c>
      <c r="N45" s="32">
        <f t="shared" si="14"/>
        <v>1770.8899999999999</v>
      </c>
      <c r="O45" s="35">
        <f>74.58+95.7+64.2</f>
        <v>234.48000000000002</v>
      </c>
      <c r="P45" s="33">
        <f t="shared" si="10"/>
        <v>44.629999999999995</v>
      </c>
      <c r="Q45" s="34">
        <f t="shared" si="16"/>
        <v>0.13615121951219514</v>
      </c>
      <c r="R45" s="34">
        <f t="shared" si="17"/>
        <v>0.12273658536585366</v>
      </c>
      <c r="S45" s="34">
        <f t="shared" si="18"/>
        <v>0.13615121951219514</v>
      </c>
    </row>
    <row r="46" spans="1:19" x14ac:dyDescent="0.2">
      <c r="A46" s="36">
        <v>185</v>
      </c>
      <c r="B46" s="25" t="s">
        <v>88</v>
      </c>
      <c r="C46" s="27">
        <v>0</v>
      </c>
      <c r="D46" s="27">
        <v>0</v>
      </c>
      <c r="E46" s="27">
        <v>0</v>
      </c>
      <c r="F46" s="48">
        <f>1945+36050</f>
        <v>37995</v>
      </c>
      <c r="G46" s="30">
        <f t="shared" si="12"/>
        <v>37995</v>
      </c>
      <c r="H46" s="27">
        <f>1945+36050</f>
        <v>37995</v>
      </c>
      <c r="I46" s="27">
        <v>0</v>
      </c>
      <c r="J46" s="35">
        <f>80.25+2178.66</f>
        <v>2258.91</v>
      </c>
      <c r="K46" s="50">
        <f>80.25+2178.66</f>
        <v>2258.91</v>
      </c>
      <c r="L46" s="32">
        <f t="shared" si="15"/>
        <v>35736.089999999997</v>
      </c>
      <c r="M46" s="32">
        <f t="shared" si="19"/>
        <v>0</v>
      </c>
      <c r="N46" s="32">
        <f t="shared" si="14"/>
        <v>35736.089999999997</v>
      </c>
      <c r="O46" s="35">
        <v>80.25</v>
      </c>
      <c r="P46" s="33">
        <f t="shared" si="10"/>
        <v>2178.66</v>
      </c>
      <c r="Q46" s="34">
        <f t="shared" si="16"/>
        <v>5.9452822739834182E-2</v>
      </c>
      <c r="R46" s="34">
        <f t="shared" si="17"/>
        <v>5.9452822739834182E-2</v>
      </c>
      <c r="S46" s="34">
        <f t="shared" si="18"/>
        <v>5.9452822739834182E-2</v>
      </c>
    </row>
    <row r="47" spans="1:19" x14ac:dyDescent="0.2">
      <c r="A47" s="36">
        <v>192</v>
      </c>
      <c r="B47" s="25" t="s">
        <v>89</v>
      </c>
      <c r="C47" s="27">
        <v>0</v>
      </c>
      <c r="D47" s="27">
        <v>0</v>
      </c>
      <c r="E47" s="27">
        <v>0</v>
      </c>
      <c r="F47" s="48">
        <f>2000-1000</f>
        <v>1000</v>
      </c>
      <c r="G47" s="30">
        <f t="shared" si="12"/>
        <v>1000</v>
      </c>
      <c r="H47" s="27">
        <f>SUM(2000-1000)</f>
        <v>1000</v>
      </c>
      <c r="I47" s="27">
        <v>0</v>
      </c>
      <c r="J47" s="35">
        <v>40.65</v>
      </c>
      <c r="K47" s="50">
        <v>40.65</v>
      </c>
      <c r="L47" s="32">
        <f t="shared" si="15"/>
        <v>959.35</v>
      </c>
      <c r="M47" s="32">
        <f t="shared" si="19"/>
        <v>0</v>
      </c>
      <c r="N47" s="32">
        <f t="shared" si="14"/>
        <v>959.35</v>
      </c>
      <c r="O47" s="35">
        <v>40.65</v>
      </c>
      <c r="P47" s="33">
        <f t="shared" si="10"/>
        <v>0</v>
      </c>
      <c r="Q47" s="34">
        <f t="shared" si="16"/>
        <v>4.0649999999999999E-2</v>
      </c>
      <c r="R47" s="34">
        <f t="shared" si="17"/>
        <v>4.0649999999999999E-2</v>
      </c>
      <c r="S47" s="34">
        <f t="shared" si="18"/>
        <v>4.0649999999999999E-2</v>
      </c>
    </row>
    <row r="48" spans="1:19" x14ac:dyDescent="0.2">
      <c r="A48" s="36">
        <v>195</v>
      </c>
      <c r="B48" s="25" t="s">
        <v>90</v>
      </c>
      <c r="C48" s="27">
        <v>0</v>
      </c>
      <c r="D48" s="27">
        <v>0</v>
      </c>
      <c r="E48" s="27">
        <v>0</v>
      </c>
      <c r="F48" s="48">
        <v>330</v>
      </c>
      <c r="G48" s="30">
        <f t="shared" si="12"/>
        <v>330</v>
      </c>
      <c r="H48" s="27">
        <v>330</v>
      </c>
      <c r="I48" s="27">
        <v>0</v>
      </c>
      <c r="J48" s="26">
        <v>317</v>
      </c>
      <c r="K48" s="51">
        <v>317</v>
      </c>
      <c r="L48" s="32">
        <f t="shared" si="15"/>
        <v>13</v>
      </c>
      <c r="M48" s="32">
        <f t="shared" si="19"/>
        <v>0</v>
      </c>
      <c r="N48" s="32">
        <f t="shared" si="14"/>
        <v>13</v>
      </c>
      <c r="O48" s="35">
        <v>317</v>
      </c>
      <c r="P48" s="33">
        <f t="shared" si="10"/>
        <v>0</v>
      </c>
      <c r="Q48" s="34">
        <f t="shared" si="16"/>
        <v>0.96060606060606057</v>
      </c>
      <c r="R48" s="34">
        <f t="shared" si="17"/>
        <v>0.96060606060606057</v>
      </c>
      <c r="S48" s="34">
        <f t="shared" si="18"/>
        <v>0.96060606060606057</v>
      </c>
    </row>
    <row r="49" spans="1:237" x14ac:dyDescent="0.2">
      <c r="A49" s="36">
        <v>196</v>
      </c>
      <c r="B49" s="25" t="s">
        <v>91</v>
      </c>
      <c r="C49" s="27">
        <v>0</v>
      </c>
      <c r="D49" s="27">
        <v>0</v>
      </c>
      <c r="E49" s="27">
        <v>0</v>
      </c>
      <c r="F49" s="48">
        <v>84</v>
      </c>
      <c r="G49" s="30">
        <f t="shared" si="12"/>
        <v>84</v>
      </c>
      <c r="H49" s="27">
        <v>84</v>
      </c>
      <c r="I49" s="27">
        <v>0</v>
      </c>
      <c r="J49" s="26">
        <f>69+15-15+15</f>
        <v>84</v>
      </c>
      <c r="K49" s="51">
        <f>69+15-15+15</f>
        <v>84</v>
      </c>
      <c r="L49" s="32">
        <f t="shared" si="15"/>
        <v>0</v>
      </c>
      <c r="M49" s="32">
        <f t="shared" si="19"/>
        <v>0</v>
      </c>
      <c r="N49" s="32">
        <f t="shared" si="14"/>
        <v>0</v>
      </c>
      <c r="O49" s="35">
        <v>69</v>
      </c>
      <c r="P49" s="33">
        <f t="shared" si="10"/>
        <v>15</v>
      </c>
      <c r="Q49" s="34">
        <f t="shared" si="16"/>
        <v>1</v>
      </c>
      <c r="R49" s="34">
        <f t="shared" si="17"/>
        <v>1</v>
      </c>
      <c r="S49" s="34">
        <f t="shared" si="18"/>
        <v>1</v>
      </c>
    </row>
    <row r="50" spans="1:237" x14ac:dyDescent="0.2">
      <c r="A50" s="24">
        <v>197</v>
      </c>
      <c r="B50" s="25" t="s">
        <v>92</v>
      </c>
      <c r="C50" s="27">
        <v>0</v>
      </c>
      <c r="D50" s="27">
        <v>0</v>
      </c>
      <c r="E50" s="27">
        <v>0</v>
      </c>
      <c r="F50" s="48">
        <f>1615-700</f>
        <v>915</v>
      </c>
      <c r="G50" s="30">
        <f t="shared" si="12"/>
        <v>915</v>
      </c>
      <c r="H50" s="27">
        <f>SUM(800+15+800-700)</f>
        <v>915</v>
      </c>
      <c r="I50" s="27">
        <v>0</v>
      </c>
      <c r="J50" s="27">
        <f>SUM(1600-800+15-15+15)</f>
        <v>815</v>
      </c>
      <c r="K50" s="50">
        <f>1600-800+15-15+15</f>
        <v>815</v>
      </c>
      <c r="L50" s="32">
        <f t="shared" si="15"/>
        <v>100</v>
      </c>
      <c r="M50" s="32">
        <f t="shared" si="19"/>
        <v>0</v>
      </c>
      <c r="N50" s="32">
        <f t="shared" si="14"/>
        <v>100</v>
      </c>
      <c r="O50" s="27">
        <v>800</v>
      </c>
      <c r="P50" s="33">
        <f t="shared" si="10"/>
        <v>15</v>
      </c>
      <c r="Q50" s="34">
        <f t="shared" si="16"/>
        <v>0.89071038251366119</v>
      </c>
      <c r="R50" s="34">
        <f t="shared" si="17"/>
        <v>0.89071038251366119</v>
      </c>
      <c r="S50" s="34">
        <f t="shared" si="18"/>
        <v>0.89071038251366119</v>
      </c>
    </row>
    <row r="51" spans="1:237" ht="17" thickBot="1" x14ac:dyDescent="0.25">
      <c r="A51" s="24">
        <v>199</v>
      </c>
      <c r="B51" s="25" t="s">
        <v>93</v>
      </c>
      <c r="C51" s="27">
        <v>0</v>
      </c>
      <c r="D51" s="27">
        <v>0</v>
      </c>
      <c r="E51" s="27">
        <v>0</v>
      </c>
      <c r="F51" s="48">
        <v>79</v>
      </c>
      <c r="G51" s="30">
        <f t="shared" si="12"/>
        <v>79</v>
      </c>
      <c r="H51" s="27">
        <v>79</v>
      </c>
      <c r="I51" s="27">
        <v>0</v>
      </c>
      <c r="J51" s="35">
        <f>78.75-78.75+78.75</f>
        <v>78.75</v>
      </c>
      <c r="K51" s="50">
        <f>78.75-78.75+78.75</f>
        <v>78.75</v>
      </c>
      <c r="L51" s="32">
        <f t="shared" si="15"/>
        <v>0.25</v>
      </c>
      <c r="M51" s="32">
        <f t="shared" si="19"/>
        <v>0</v>
      </c>
      <c r="N51" s="32">
        <f t="shared" si="14"/>
        <v>0.25</v>
      </c>
      <c r="O51" s="35">
        <v>0</v>
      </c>
      <c r="P51" s="33">
        <f t="shared" si="10"/>
        <v>78.75</v>
      </c>
      <c r="Q51" s="34">
        <f t="shared" si="16"/>
        <v>0.99683544303797467</v>
      </c>
      <c r="R51" s="34">
        <f t="shared" si="17"/>
        <v>0.99683544303797467</v>
      </c>
      <c r="S51" s="34">
        <f t="shared" si="18"/>
        <v>0.99683544303797467</v>
      </c>
    </row>
    <row r="52" spans="1:237" s="13" customFormat="1" ht="18" thickBot="1" x14ac:dyDescent="0.25">
      <c r="A52" s="39">
        <v>2</v>
      </c>
      <c r="B52" s="40" t="s">
        <v>94</v>
      </c>
      <c r="C52" s="41">
        <f>SUM(C54:C84)</f>
        <v>54867</v>
      </c>
      <c r="D52" s="41">
        <f>SUM(D54:D84)</f>
        <v>0</v>
      </c>
      <c r="E52" s="41">
        <f>SUM(E54:E84)</f>
        <v>54867</v>
      </c>
      <c r="F52" s="42">
        <f t="shared" ref="F52:P52" si="20">SUM(F53:F84)</f>
        <v>13861</v>
      </c>
      <c r="G52" s="42">
        <f t="shared" si="20"/>
        <v>68728</v>
      </c>
      <c r="H52" s="41">
        <f t="shared" si="20"/>
        <v>68728</v>
      </c>
      <c r="I52" s="41">
        <f t="shared" si="20"/>
        <v>0</v>
      </c>
      <c r="J52" s="41">
        <f t="shared" si="20"/>
        <v>36116.950000000004</v>
      </c>
      <c r="K52" s="41">
        <f t="shared" si="20"/>
        <v>39386.980000000003</v>
      </c>
      <c r="L52" s="41">
        <f t="shared" si="20"/>
        <v>29341.02</v>
      </c>
      <c r="M52" s="41">
        <f t="shared" si="20"/>
        <v>0</v>
      </c>
      <c r="N52" s="41">
        <f t="shared" si="20"/>
        <v>29341.02</v>
      </c>
      <c r="O52" s="41">
        <f t="shared" si="20"/>
        <v>17353.46</v>
      </c>
      <c r="P52" s="41">
        <f t="shared" si="20"/>
        <v>22033.519999999993</v>
      </c>
      <c r="Q52" s="45">
        <f t="shared" si="16"/>
        <v>0.57308491444534981</v>
      </c>
      <c r="R52" s="52">
        <f t="shared" si="17"/>
        <v>0.52550561634268422</v>
      </c>
      <c r="S52" s="52">
        <f t="shared" si="18"/>
        <v>0.57308491444534981</v>
      </c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</row>
    <row r="53" spans="1:237" s="13" customFormat="1" x14ac:dyDescent="0.2">
      <c r="A53" s="36">
        <v>201</v>
      </c>
      <c r="B53" s="25" t="s">
        <v>95</v>
      </c>
      <c r="C53" s="27">
        <v>0</v>
      </c>
      <c r="D53" s="27">
        <v>0</v>
      </c>
      <c r="E53" s="27">
        <v>0</v>
      </c>
      <c r="F53" s="53">
        <v>1000</v>
      </c>
      <c r="G53" s="30">
        <f t="shared" ref="G53:G65" si="21">SUM(E53+F53)</f>
        <v>1000</v>
      </c>
      <c r="H53" s="54">
        <v>1000</v>
      </c>
      <c r="I53" s="54"/>
      <c r="J53" s="54">
        <f>174-120+321.95-34+0.22</f>
        <v>342.17</v>
      </c>
      <c r="K53" s="54">
        <f>174-120+321.95-34+0.22</f>
        <v>342.17</v>
      </c>
      <c r="L53" s="32">
        <f t="shared" ref="L53:L65" si="22">SUM(H53-K53)</f>
        <v>657.82999999999993</v>
      </c>
      <c r="M53" s="54"/>
      <c r="N53" s="32">
        <f t="shared" ref="N53:N65" si="23">SUM(-I53+L53+M53)</f>
        <v>657.82999999999993</v>
      </c>
      <c r="O53" s="54">
        <f>54</f>
        <v>54</v>
      </c>
      <c r="P53" s="33">
        <f t="shared" ref="P53:P65" si="24">SUM(K53-O53)</f>
        <v>288.17</v>
      </c>
      <c r="Q53" s="34">
        <f t="shared" si="16"/>
        <v>0.34217000000000003</v>
      </c>
      <c r="R53" s="34">
        <f t="shared" si="17"/>
        <v>0.34217000000000003</v>
      </c>
      <c r="S53" s="34">
        <f t="shared" si="18"/>
        <v>0.34217000000000003</v>
      </c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</row>
    <row r="54" spans="1:237" x14ac:dyDescent="0.2">
      <c r="A54" s="36" t="s">
        <v>96</v>
      </c>
      <c r="B54" s="25" t="s">
        <v>97</v>
      </c>
      <c r="C54" s="26">
        <v>732</v>
      </c>
      <c r="D54" s="27">
        <v>0</v>
      </c>
      <c r="E54" s="28">
        <v>732</v>
      </c>
      <c r="F54" s="48">
        <f>2461-1800</f>
        <v>661</v>
      </c>
      <c r="G54" s="30">
        <f t="shared" si="21"/>
        <v>1393</v>
      </c>
      <c r="H54" s="27">
        <f>SUM(732-39+2500-1800)</f>
        <v>1393</v>
      </c>
      <c r="I54" s="27">
        <v>0</v>
      </c>
      <c r="J54" s="26">
        <f>SUM(693+630)</f>
        <v>1323</v>
      </c>
      <c r="K54" s="50">
        <f>(693+630)</f>
        <v>1323</v>
      </c>
      <c r="L54" s="32">
        <f t="shared" si="22"/>
        <v>70</v>
      </c>
      <c r="M54" s="32">
        <f>SUM(G54-H54)</f>
        <v>0</v>
      </c>
      <c r="N54" s="32">
        <f t="shared" si="23"/>
        <v>70</v>
      </c>
      <c r="O54" s="35">
        <v>0</v>
      </c>
      <c r="P54" s="33">
        <f t="shared" si="24"/>
        <v>1323</v>
      </c>
      <c r="Q54" s="34">
        <f t="shared" si="16"/>
        <v>0.94974874371859297</v>
      </c>
      <c r="R54" s="34">
        <f t="shared" si="17"/>
        <v>0.94974874371859297</v>
      </c>
      <c r="S54" s="34">
        <f t="shared" si="18"/>
        <v>0.94974874371859297</v>
      </c>
    </row>
    <row r="55" spans="1:237" x14ac:dyDescent="0.2">
      <c r="A55" s="36">
        <v>211</v>
      </c>
      <c r="B55" s="25" t="s">
        <v>98</v>
      </c>
      <c r="C55" s="27">
        <v>0</v>
      </c>
      <c r="D55" s="27">
        <v>0</v>
      </c>
      <c r="E55" s="27">
        <v>0</v>
      </c>
      <c r="F55" s="48">
        <f>39+2000</f>
        <v>2039</v>
      </c>
      <c r="G55" s="30">
        <f t="shared" si="21"/>
        <v>2039</v>
      </c>
      <c r="H55" s="27">
        <f>39+2000</f>
        <v>2039</v>
      </c>
      <c r="I55" s="27">
        <v>0</v>
      </c>
      <c r="J55" s="35">
        <v>0</v>
      </c>
      <c r="K55" s="50">
        <v>0</v>
      </c>
      <c r="L55" s="32">
        <f t="shared" si="22"/>
        <v>2039</v>
      </c>
      <c r="M55" s="32">
        <f>SUM(G55-H55)</f>
        <v>0</v>
      </c>
      <c r="N55" s="32">
        <f t="shared" si="23"/>
        <v>2039</v>
      </c>
      <c r="O55" s="35">
        <v>0</v>
      </c>
      <c r="P55" s="33">
        <f t="shared" si="24"/>
        <v>0</v>
      </c>
      <c r="Q55" s="34">
        <f t="shared" si="16"/>
        <v>0</v>
      </c>
      <c r="R55" s="34">
        <f t="shared" si="17"/>
        <v>0</v>
      </c>
      <c r="S55" s="34">
        <f t="shared" si="18"/>
        <v>0</v>
      </c>
    </row>
    <row r="56" spans="1:237" x14ac:dyDescent="0.2">
      <c r="A56" s="36">
        <v>212</v>
      </c>
      <c r="B56" s="25" t="s">
        <v>99</v>
      </c>
      <c r="C56" s="27">
        <v>0</v>
      </c>
      <c r="D56" s="27">
        <v>0</v>
      </c>
      <c r="E56" s="27">
        <v>0</v>
      </c>
      <c r="F56" s="48">
        <v>55</v>
      </c>
      <c r="G56" s="30">
        <f t="shared" si="21"/>
        <v>55</v>
      </c>
      <c r="H56" s="27">
        <v>55</v>
      </c>
      <c r="I56" s="27">
        <v>0</v>
      </c>
      <c r="J56" s="35">
        <f>42.79</f>
        <v>42.79</v>
      </c>
      <c r="K56" s="50">
        <f>42.79</f>
        <v>42.79</v>
      </c>
      <c r="L56" s="32">
        <f t="shared" si="22"/>
        <v>12.21</v>
      </c>
      <c r="M56" s="32">
        <f>SUM(G56-H56)</f>
        <v>0</v>
      </c>
      <c r="N56" s="32">
        <f t="shared" si="23"/>
        <v>12.21</v>
      </c>
      <c r="O56" s="35">
        <v>0</v>
      </c>
      <c r="P56" s="33">
        <f t="shared" si="24"/>
        <v>42.79</v>
      </c>
      <c r="Q56" s="34">
        <f t="shared" si="16"/>
        <v>0.77800000000000002</v>
      </c>
      <c r="R56" s="34">
        <f t="shared" si="17"/>
        <v>0.77800000000000002</v>
      </c>
      <c r="S56" s="34">
        <f t="shared" si="18"/>
        <v>0.77800000000000002</v>
      </c>
    </row>
    <row r="57" spans="1:237" x14ac:dyDescent="0.2">
      <c r="A57" s="36">
        <v>214</v>
      </c>
      <c r="B57" s="25" t="s">
        <v>100</v>
      </c>
      <c r="C57" s="27">
        <v>0</v>
      </c>
      <c r="D57" s="27">
        <v>0</v>
      </c>
      <c r="E57" s="27">
        <v>0</v>
      </c>
      <c r="F57" s="27">
        <v>1000</v>
      </c>
      <c r="G57" s="30">
        <f t="shared" si="21"/>
        <v>1000</v>
      </c>
      <c r="H57" s="27">
        <v>1000</v>
      </c>
      <c r="I57" s="27">
        <v>0</v>
      </c>
      <c r="J57" s="27">
        <v>857.26</v>
      </c>
      <c r="K57" s="27">
        <v>857.26</v>
      </c>
      <c r="L57" s="32">
        <f t="shared" si="22"/>
        <v>142.74</v>
      </c>
      <c r="M57" s="27">
        <v>0</v>
      </c>
      <c r="N57" s="32">
        <f t="shared" si="23"/>
        <v>142.74</v>
      </c>
      <c r="O57" s="27">
        <v>0</v>
      </c>
      <c r="P57" s="33">
        <f t="shared" si="24"/>
        <v>857.26</v>
      </c>
      <c r="Q57" s="34">
        <f t="shared" si="16"/>
        <v>0.85726000000000002</v>
      </c>
      <c r="R57" s="34">
        <f t="shared" si="17"/>
        <v>0.85726000000000002</v>
      </c>
      <c r="S57" s="34">
        <f t="shared" si="18"/>
        <v>0.85726000000000002</v>
      </c>
    </row>
    <row r="58" spans="1:237" x14ac:dyDescent="0.2">
      <c r="A58" s="36" t="s">
        <v>101</v>
      </c>
      <c r="B58" s="25" t="s">
        <v>102</v>
      </c>
      <c r="C58" s="26">
        <v>10000</v>
      </c>
      <c r="D58" s="27">
        <v>0</v>
      </c>
      <c r="E58" s="28">
        <v>10000</v>
      </c>
      <c r="F58" s="48">
        <f>SUM(-4802-2698)</f>
        <v>-7500</v>
      </c>
      <c r="G58" s="30">
        <f t="shared" si="21"/>
        <v>2500</v>
      </c>
      <c r="H58" s="27">
        <f>SUM(5198-2698)</f>
        <v>2500</v>
      </c>
      <c r="I58" s="27">
        <v>0</v>
      </c>
      <c r="J58" s="26">
        <f>SUM(2500)</f>
        <v>2500</v>
      </c>
      <c r="K58" s="50">
        <f>(3000-500)</f>
        <v>2500</v>
      </c>
      <c r="L58" s="32">
        <f t="shared" si="22"/>
        <v>0</v>
      </c>
      <c r="M58" s="32">
        <f t="shared" ref="M58:M65" si="25">SUM(G58-H58)</f>
        <v>0</v>
      </c>
      <c r="N58" s="32">
        <f t="shared" si="23"/>
        <v>0</v>
      </c>
      <c r="O58" s="35">
        <f>1231.33+325.38+421.39+0.3</f>
        <v>1978.3999999999999</v>
      </c>
      <c r="P58" s="33">
        <f t="shared" si="24"/>
        <v>521.60000000000014</v>
      </c>
      <c r="Q58" s="34">
        <f t="shared" si="16"/>
        <v>1</v>
      </c>
      <c r="R58" s="34">
        <f t="shared" si="17"/>
        <v>1</v>
      </c>
      <c r="S58" s="34">
        <f t="shared" si="18"/>
        <v>1</v>
      </c>
    </row>
    <row r="59" spans="1:237" x14ac:dyDescent="0.2">
      <c r="A59" s="36" t="s">
        <v>103</v>
      </c>
      <c r="B59" s="25" t="s">
        <v>104</v>
      </c>
      <c r="C59" s="26">
        <v>12120</v>
      </c>
      <c r="D59" s="27">
        <v>0</v>
      </c>
      <c r="E59" s="28">
        <v>12120</v>
      </c>
      <c r="F59" s="48">
        <f>-9620+2000</f>
        <v>-7620</v>
      </c>
      <c r="G59" s="30">
        <f t="shared" si="21"/>
        <v>4500</v>
      </c>
      <c r="H59" s="27">
        <f>SUM(12120-9620+2000)</f>
        <v>4500</v>
      </c>
      <c r="I59" s="27">
        <v>0</v>
      </c>
      <c r="J59" s="26">
        <f>SUM(2500+91.02)</f>
        <v>2591.02</v>
      </c>
      <c r="K59" s="50">
        <f>(3000-500+91.02)</f>
        <v>2591.02</v>
      </c>
      <c r="L59" s="32">
        <f t="shared" si="22"/>
        <v>1908.98</v>
      </c>
      <c r="M59" s="32">
        <f t="shared" si="25"/>
        <v>0</v>
      </c>
      <c r="N59" s="32">
        <f t="shared" si="23"/>
        <v>1908.98</v>
      </c>
      <c r="O59" s="35">
        <f>702.69+160.56+168.76</f>
        <v>1032.01</v>
      </c>
      <c r="P59" s="33">
        <f t="shared" si="24"/>
        <v>1559.01</v>
      </c>
      <c r="Q59" s="34">
        <f t="shared" si="16"/>
        <v>0.5757822222222222</v>
      </c>
      <c r="R59" s="34">
        <f t="shared" si="17"/>
        <v>0.5757822222222222</v>
      </c>
      <c r="S59" s="34">
        <f t="shared" si="18"/>
        <v>0.5757822222222222</v>
      </c>
    </row>
    <row r="60" spans="1:237" x14ac:dyDescent="0.2">
      <c r="A60" s="24" t="s">
        <v>105</v>
      </c>
      <c r="B60" s="25" t="s">
        <v>106</v>
      </c>
      <c r="C60" s="26">
        <v>2117</v>
      </c>
      <c r="D60" s="27">
        <v>0</v>
      </c>
      <c r="E60" s="28">
        <v>2117</v>
      </c>
      <c r="F60" s="48">
        <v>-1500</v>
      </c>
      <c r="G60" s="30">
        <f t="shared" si="21"/>
        <v>617</v>
      </c>
      <c r="H60" s="27">
        <f>SUM(2117-1500)</f>
        <v>617</v>
      </c>
      <c r="I60" s="27">
        <v>0</v>
      </c>
      <c r="J60" s="26">
        <f>SUM(47.72+49.22+40.66)</f>
        <v>137.6</v>
      </c>
      <c r="K60" s="50">
        <f>47.72+49.22+40.66</f>
        <v>137.6</v>
      </c>
      <c r="L60" s="32">
        <f t="shared" si="22"/>
        <v>479.4</v>
      </c>
      <c r="M60" s="32">
        <f t="shared" si="25"/>
        <v>0</v>
      </c>
      <c r="N60" s="32">
        <f t="shared" si="23"/>
        <v>479.4</v>
      </c>
      <c r="O60" s="35">
        <f>47.71+40.66</f>
        <v>88.37</v>
      </c>
      <c r="P60" s="33">
        <f t="shared" si="24"/>
        <v>49.22999999999999</v>
      </c>
      <c r="Q60" s="34">
        <f t="shared" si="16"/>
        <v>0.22301458670988653</v>
      </c>
      <c r="R60" s="34">
        <f t="shared" si="17"/>
        <v>0.22301458670988653</v>
      </c>
      <c r="S60" s="34">
        <f t="shared" si="18"/>
        <v>0.22301458670988653</v>
      </c>
    </row>
    <row r="61" spans="1:237" x14ac:dyDescent="0.2">
      <c r="A61" s="24">
        <v>231</v>
      </c>
      <c r="B61" s="25" t="s">
        <v>107</v>
      </c>
      <c r="C61" s="27">
        <v>0</v>
      </c>
      <c r="D61" s="27">
        <v>0</v>
      </c>
      <c r="E61" s="27">
        <v>0</v>
      </c>
      <c r="F61" s="48">
        <f>3000-1000</f>
        <v>2000</v>
      </c>
      <c r="G61" s="30">
        <f t="shared" si="21"/>
        <v>2000</v>
      </c>
      <c r="H61" s="27">
        <f>SUM(3000-1000)</f>
        <v>2000</v>
      </c>
      <c r="I61" s="27">
        <v>0</v>
      </c>
      <c r="J61" s="35">
        <v>722.79</v>
      </c>
      <c r="K61" s="50">
        <f>1722.79-1000</f>
        <v>722.79</v>
      </c>
      <c r="L61" s="32">
        <f t="shared" si="22"/>
        <v>1277.21</v>
      </c>
      <c r="M61" s="32">
        <f t="shared" si="25"/>
        <v>0</v>
      </c>
      <c r="N61" s="32">
        <f t="shared" si="23"/>
        <v>1277.21</v>
      </c>
      <c r="O61" s="35">
        <v>0</v>
      </c>
      <c r="P61" s="33">
        <f t="shared" si="24"/>
        <v>722.79</v>
      </c>
      <c r="Q61" s="34">
        <f t="shared" si="16"/>
        <v>0.36139499999999997</v>
      </c>
      <c r="R61" s="34">
        <f t="shared" si="17"/>
        <v>0.36139499999999997</v>
      </c>
      <c r="S61" s="34">
        <f t="shared" si="18"/>
        <v>0.36139499999999997</v>
      </c>
    </row>
    <row r="62" spans="1:237" x14ac:dyDescent="0.2">
      <c r="A62" s="24" t="s">
        <v>108</v>
      </c>
      <c r="B62" s="25" t="s">
        <v>109</v>
      </c>
      <c r="C62" s="26">
        <v>5263</v>
      </c>
      <c r="D62" s="27">
        <v>0</v>
      </c>
      <c r="E62" s="28">
        <v>5263</v>
      </c>
      <c r="F62" s="48">
        <f>3000-2000+1000-2000</f>
        <v>0</v>
      </c>
      <c r="G62" s="30">
        <f t="shared" si="21"/>
        <v>5263</v>
      </c>
      <c r="H62" s="27">
        <f>SUM(5000-1000+1263)</f>
        <v>5263</v>
      </c>
      <c r="I62" s="27">
        <v>0</v>
      </c>
      <c r="J62" s="26">
        <f>SUM(326.46+1259.18+139.09+219.87)</f>
        <v>1944.6</v>
      </c>
      <c r="K62" s="50">
        <f>326.46+1259.18+139.09+219.87</f>
        <v>1944.6</v>
      </c>
      <c r="L62" s="32">
        <f t="shared" si="22"/>
        <v>3318.4</v>
      </c>
      <c r="M62" s="32">
        <f t="shared" si="25"/>
        <v>0</v>
      </c>
      <c r="N62" s="32">
        <f t="shared" si="23"/>
        <v>3318.4</v>
      </c>
      <c r="O62" s="35">
        <f>522.8+494.66</f>
        <v>1017.46</v>
      </c>
      <c r="P62" s="33">
        <f t="shared" si="24"/>
        <v>927.13999999999987</v>
      </c>
      <c r="Q62" s="34">
        <f t="shared" si="16"/>
        <v>0.36948508455253654</v>
      </c>
      <c r="R62" s="34">
        <f t="shared" si="17"/>
        <v>0.36948508455253654</v>
      </c>
      <c r="S62" s="34">
        <f t="shared" si="18"/>
        <v>0.36948508455253654</v>
      </c>
    </row>
    <row r="63" spans="1:237" x14ac:dyDescent="0.2">
      <c r="A63" s="24">
        <v>239</v>
      </c>
      <c r="B63" s="25" t="s">
        <v>110</v>
      </c>
      <c r="C63" s="27">
        <v>0</v>
      </c>
      <c r="D63" s="27">
        <v>0</v>
      </c>
      <c r="E63" s="27">
        <v>0</v>
      </c>
      <c r="F63" s="48">
        <f>3187-1000-1000</f>
        <v>1187</v>
      </c>
      <c r="G63" s="30">
        <f t="shared" si="21"/>
        <v>1187</v>
      </c>
      <c r="H63" s="27">
        <f>SUM(187+3000-1000-1000)</f>
        <v>1187</v>
      </c>
      <c r="I63" s="27">
        <v>0</v>
      </c>
      <c r="J63" s="26">
        <f>SUM(186.18)</f>
        <v>186.18</v>
      </c>
      <c r="K63" s="50">
        <v>186.18</v>
      </c>
      <c r="L63" s="32">
        <f t="shared" si="22"/>
        <v>1000.8199999999999</v>
      </c>
      <c r="M63" s="32">
        <f t="shared" si="25"/>
        <v>0</v>
      </c>
      <c r="N63" s="32">
        <f t="shared" si="23"/>
        <v>1000.8199999999999</v>
      </c>
      <c r="O63" s="35">
        <v>186.18</v>
      </c>
      <c r="P63" s="33">
        <f t="shared" si="24"/>
        <v>0</v>
      </c>
      <c r="Q63" s="34">
        <f t="shared" si="16"/>
        <v>0.15684919966301603</v>
      </c>
      <c r="R63" s="34">
        <f t="shared" si="17"/>
        <v>0.15684919966301603</v>
      </c>
      <c r="S63" s="34">
        <f t="shared" si="18"/>
        <v>0.15684919966301603</v>
      </c>
    </row>
    <row r="64" spans="1:237" x14ac:dyDescent="0.2">
      <c r="A64" s="24">
        <v>242</v>
      </c>
      <c r="B64" s="25" t="s">
        <v>111</v>
      </c>
      <c r="C64" s="27">
        <v>0</v>
      </c>
      <c r="D64" s="27">
        <v>0</v>
      </c>
      <c r="E64" s="27">
        <v>0</v>
      </c>
      <c r="F64" s="48">
        <f>260+100+1500</f>
        <v>1860</v>
      </c>
      <c r="G64" s="30">
        <f t="shared" si="21"/>
        <v>1860</v>
      </c>
      <c r="H64" s="27">
        <f>260+100+1500</f>
        <v>1860</v>
      </c>
      <c r="I64" s="27">
        <v>0</v>
      </c>
      <c r="J64" s="26">
        <f>259.54+428+69.25</f>
        <v>756.79</v>
      </c>
      <c r="K64" s="50">
        <f>259.54+428+69.25</f>
        <v>756.79</v>
      </c>
      <c r="L64" s="32">
        <f t="shared" si="22"/>
        <v>1103.21</v>
      </c>
      <c r="M64" s="32">
        <f t="shared" si="25"/>
        <v>0</v>
      </c>
      <c r="N64" s="32">
        <f t="shared" si="23"/>
        <v>1103.21</v>
      </c>
      <c r="O64" s="27">
        <f>259.54+428</f>
        <v>687.54</v>
      </c>
      <c r="P64" s="33">
        <f t="shared" si="24"/>
        <v>69.25</v>
      </c>
      <c r="Q64" s="34">
        <f t="shared" si="16"/>
        <v>0.40687634408602147</v>
      </c>
      <c r="R64" s="34">
        <f t="shared" si="17"/>
        <v>0.40687634408602147</v>
      </c>
      <c r="S64" s="34">
        <f t="shared" si="18"/>
        <v>0.40687634408602147</v>
      </c>
    </row>
    <row r="65" spans="1:19" x14ac:dyDescent="0.2">
      <c r="A65" s="24" t="s">
        <v>112</v>
      </c>
      <c r="B65" s="25" t="s">
        <v>113</v>
      </c>
      <c r="C65" s="26">
        <v>2097</v>
      </c>
      <c r="D65" s="27">
        <v>0</v>
      </c>
      <c r="E65" s="28">
        <v>2097</v>
      </c>
      <c r="F65" s="48">
        <v>35</v>
      </c>
      <c r="G65" s="30">
        <f t="shared" si="21"/>
        <v>2132</v>
      </c>
      <c r="H65" s="27">
        <f>SUM(132+2000)</f>
        <v>2132</v>
      </c>
      <c r="I65" s="27">
        <v>0</v>
      </c>
      <c r="J65" s="27">
        <f>SUM(130+1325.73+21.4)</f>
        <v>1477.13</v>
      </c>
      <c r="K65" s="50">
        <f>130+1325.73+21.4</f>
        <v>1477.13</v>
      </c>
      <c r="L65" s="32">
        <f t="shared" si="22"/>
        <v>654.86999999999989</v>
      </c>
      <c r="M65" s="32">
        <f t="shared" si="25"/>
        <v>0</v>
      </c>
      <c r="N65" s="32">
        <f t="shared" si="23"/>
        <v>654.86999999999989</v>
      </c>
      <c r="O65" s="35">
        <f>130+1325.73</f>
        <v>1455.73</v>
      </c>
      <c r="P65" s="33">
        <f t="shared" si="24"/>
        <v>21.400000000000091</v>
      </c>
      <c r="Q65" s="34">
        <f t="shared" si="16"/>
        <v>0.69283771106941838</v>
      </c>
      <c r="R65" s="34">
        <f t="shared" si="17"/>
        <v>0.69283771106941838</v>
      </c>
      <c r="S65" s="34">
        <f t="shared" si="18"/>
        <v>0.69283771106941838</v>
      </c>
    </row>
    <row r="66" spans="1:19" x14ac:dyDescent="0.2">
      <c r="A66" s="24">
        <v>244</v>
      </c>
      <c r="B66" s="25" t="s">
        <v>114</v>
      </c>
      <c r="C66" s="26"/>
      <c r="D66" s="27"/>
      <c r="E66" s="28"/>
      <c r="F66" s="48">
        <f>100</f>
        <v>100</v>
      </c>
      <c r="G66" s="30">
        <f>100</f>
        <v>100</v>
      </c>
      <c r="H66" s="27">
        <f>100</f>
        <v>100</v>
      </c>
      <c r="I66" s="27"/>
      <c r="J66" s="27"/>
      <c r="K66" s="50"/>
      <c r="L66" s="32">
        <v>100</v>
      </c>
      <c r="M66" s="32"/>
      <c r="N66" s="32">
        <v>100</v>
      </c>
      <c r="O66" s="35"/>
      <c r="P66" s="33"/>
      <c r="Q66" s="34">
        <f t="shared" si="16"/>
        <v>0</v>
      </c>
      <c r="R66" s="34">
        <f t="shared" si="17"/>
        <v>0</v>
      </c>
      <c r="S66" s="34"/>
    </row>
    <row r="67" spans="1:19" x14ac:dyDescent="0.2">
      <c r="A67" s="36" t="s">
        <v>115</v>
      </c>
      <c r="B67" s="25" t="s">
        <v>116</v>
      </c>
      <c r="C67" s="27">
        <v>0</v>
      </c>
      <c r="D67" s="27">
        <v>0</v>
      </c>
      <c r="E67" s="27">
        <v>0</v>
      </c>
      <c r="F67" s="48">
        <f>798+1570+1500</f>
        <v>3868</v>
      </c>
      <c r="G67" s="30">
        <f t="shared" ref="G67:G84" si="26">SUM(E67+F67)</f>
        <v>3868</v>
      </c>
      <c r="H67" s="27">
        <f>SUM(766+32+1570+1500)</f>
        <v>3868</v>
      </c>
      <c r="I67" s="27">
        <v>0</v>
      </c>
      <c r="J67" s="26">
        <f>SUM(765.8+31.95+1164.25-1104.65+935.05+12.84)</f>
        <v>1805.2399999999998</v>
      </c>
      <c r="K67" s="50">
        <f>797.75+1164.25+59.6+935.05+12.84</f>
        <v>2969.49</v>
      </c>
      <c r="L67" s="32">
        <f t="shared" ref="L67:L84" si="27">SUM(H67-K67)</f>
        <v>898.51000000000022</v>
      </c>
      <c r="M67" s="32">
        <f>SUM(G67-H67)</f>
        <v>0</v>
      </c>
      <c r="N67" s="32">
        <f t="shared" ref="N67:N84" si="28">SUM(-I67+L67+M67)</f>
        <v>898.51000000000022</v>
      </c>
      <c r="O67" s="35">
        <f>31.95+765.8+59.6+41</f>
        <v>898.35</v>
      </c>
      <c r="P67" s="33">
        <f t="shared" ref="P67:P84" si="29">SUM(K67-O67)</f>
        <v>2071.14</v>
      </c>
      <c r="Q67" s="34">
        <f t="shared" si="16"/>
        <v>0.7677068252326783</v>
      </c>
      <c r="R67" s="34">
        <f t="shared" si="17"/>
        <v>0.46671147880041358</v>
      </c>
      <c r="S67" s="34">
        <f t="shared" ref="S67:S87" si="30">SUM(K67/G67*100%)</f>
        <v>0.7677068252326783</v>
      </c>
    </row>
    <row r="68" spans="1:19" x14ac:dyDescent="0.2">
      <c r="A68" s="36">
        <v>252</v>
      </c>
      <c r="B68" s="25" t="s">
        <v>117</v>
      </c>
      <c r="C68" s="27">
        <v>0</v>
      </c>
      <c r="D68" s="27">
        <v>0</v>
      </c>
      <c r="E68" s="27">
        <v>0</v>
      </c>
      <c r="F68" s="48">
        <v>300</v>
      </c>
      <c r="G68" s="30">
        <f t="shared" si="26"/>
        <v>300</v>
      </c>
      <c r="H68" s="27">
        <f>300</f>
        <v>300</v>
      </c>
      <c r="I68" s="27"/>
      <c r="J68" s="26">
        <f>13.91</f>
        <v>13.91</v>
      </c>
      <c r="K68" s="50">
        <f>13.91</f>
        <v>13.91</v>
      </c>
      <c r="L68" s="32">
        <f t="shared" si="27"/>
        <v>286.08999999999997</v>
      </c>
      <c r="M68" s="32"/>
      <c r="N68" s="32">
        <f t="shared" si="28"/>
        <v>286.08999999999997</v>
      </c>
      <c r="O68" s="35">
        <v>0</v>
      </c>
      <c r="P68" s="33">
        <f t="shared" si="29"/>
        <v>13.91</v>
      </c>
      <c r="Q68" s="34">
        <f t="shared" si="16"/>
        <v>4.6366666666666667E-2</v>
      </c>
      <c r="R68" s="34">
        <f t="shared" si="17"/>
        <v>4.6366666666666667E-2</v>
      </c>
      <c r="S68" s="34">
        <f t="shared" si="30"/>
        <v>4.6366666666666667E-2</v>
      </c>
    </row>
    <row r="69" spans="1:19" x14ac:dyDescent="0.2">
      <c r="A69" s="24" t="s">
        <v>118</v>
      </c>
      <c r="B69" s="25" t="s">
        <v>119</v>
      </c>
      <c r="C69" s="26">
        <v>280</v>
      </c>
      <c r="D69" s="27">
        <v>0</v>
      </c>
      <c r="E69" s="28">
        <v>280</v>
      </c>
      <c r="F69" s="48">
        <v>10</v>
      </c>
      <c r="G69" s="30">
        <f t="shared" si="26"/>
        <v>290</v>
      </c>
      <c r="H69" s="27">
        <f>SUM(10+280)</f>
        <v>290</v>
      </c>
      <c r="I69" s="27">
        <v>0</v>
      </c>
      <c r="J69" s="26">
        <f>SUM(9.16+144.45)</f>
        <v>153.60999999999999</v>
      </c>
      <c r="K69" s="50">
        <f>9.16+144.45</f>
        <v>153.60999999999999</v>
      </c>
      <c r="L69" s="32">
        <f t="shared" si="27"/>
        <v>136.39000000000001</v>
      </c>
      <c r="M69" s="32">
        <f t="shared" ref="M69:M84" si="31">SUM(G69-H69)</f>
        <v>0</v>
      </c>
      <c r="N69" s="32">
        <f t="shared" si="28"/>
        <v>136.39000000000001</v>
      </c>
      <c r="O69" s="35">
        <v>9.15</v>
      </c>
      <c r="P69" s="33">
        <f t="shared" si="29"/>
        <v>144.45999999999998</v>
      </c>
      <c r="Q69" s="34">
        <f t="shared" si="16"/>
        <v>0.52968965517241373</v>
      </c>
      <c r="R69" s="34">
        <f t="shared" si="17"/>
        <v>0.52968965517241373</v>
      </c>
      <c r="S69" s="34">
        <f t="shared" si="30"/>
        <v>0.52968965517241373</v>
      </c>
    </row>
    <row r="70" spans="1:19" x14ac:dyDescent="0.2">
      <c r="A70" s="24" t="s">
        <v>120</v>
      </c>
      <c r="B70" s="25" t="s">
        <v>121</v>
      </c>
      <c r="C70" s="26">
        <v>1000</v>
      </c>
      <c r="D70" s="27">
        <v>0</v>
      </c>
      <c r="E70" s="28">
        <v>1000</v>
      </c>
      <c r="F70" s="48">
        <v>1100</v>
      </c>
      <c r="G70" s="30">
        <f t="shared" si="26"/>
        <v>2100</v>
      </c>
      <c r="H70" s="27">
        <f>500+1600</f>
        <v>2100</v>
      </c>
      <c r="I70" s="27">
        <v>0</v>
      </c>
      <c r="J70" s="26">
        <f>20.32+989.25+41.09</f>
        <v>1050.6600000000001</v>
      </c>
      <c r="K70" s="50">
        <f>40.64+989.25+41.09</f>
        <v>1070.98</v>
      </c>
      <c r="L70" s="32">
        <f t="shared" si="27"/>
        <v>1029.02</v>
      </c>
      <c r="M70" s="32">
        <f t="shared" si="31"/>
        <v>0</v>
      </c>
      <c r="N70" s="32">
        <f t="shared" si="28"/>
        <v>1029.02</v>
      </c>
      <c r="O70" s="35">
        <f>20.32+824.15</f>
        <v>844.47</v>
      </c>
      <c r="P70" s="33">
        <f t="shared" si="29"/>
        <v>226.51</v>
      </c>
      <c r="Q70" s="34">
        <f t="shared" si="16"/>
        <v>0.50999047619047622</v>
      </c>
      <c r="R70" s="34">
        <f t="shared" si="17"/>
        <v>0.50031428571428571</v>
      </c>
      <c r="S70" s="34">
        <f t="shared" si="30"/>
        <v>0.50999047619047622</v>
      </c>
    </row>
    <row r="71" spans="1:19" x14ac:dyDescent="0.2">
      <c r="A71" s="24" t="s">
        <v>122</v>
      </c>
      <c r="B71" s="25" t="s">
        <v>123</v>
      </c>
      <c r="C71" s="26">
        <v>1000</v>
      </c>
      <c r="D71" s="27">
        <v>0</v>
      </c>
      <c r="E71" s="28">
        <v>1000</v>
      </c>
      <c r="F71" s="48">
        <f>2000-76+1000</f>
        <v>2924</v>
      </c>
      <c r="G71" s="30">
        <f t="shared" si="26"/>
        <v>3924</v>
      </c>
      <c r="H71" s="27">
        <f>SUM(2000-76+500+1500)</f>
        <v>3924</v>
      </c>
      <c r="I71" s="27">
        <v>0</v>
      </c>
      <c r="J71" s="26">
        <f>106.93+3431.17</f>
        <v>3538.1</v>
      </c>
      <c r="K71" s="50">
        <f>106.93+3431.17</f>
        <v>3538.1</v>
      </c>
      <c r="L71" s="32">
        <f t="shared" si="27"/>
        <v>385.90000000000009</v>
      </c>
      <c r="M71" s="32">
        <f t="shared" si="31"/>
        <v>0</v>
      </c>
      <c r="N71" s="32">
        <f t="shared" si="28"/>
        <v>385.90000000000009</v>
      </c>
      <c r="O71" s="35">
        <f>106.93+145.25</f>
        <v>252.18</v>
      </c>
      <c r="P71" s="33">
        <f t="shared" si="29"/>
        <v>3285.92</v>
      </c>
      <c r="Q71" s="34">
        <f t="shared" si="16"/>
        <v>0.90165647298674823</v>
      </c>
      <c r="R71" s="34">
        <f t="shared" si="17"/>
        <v>0.90165647298674823</v>
      </c>
      <c r="S71" s="34">
        <f t="shared" si="30"/>
        <v>0.90165647298674823</v>
      </c>
    </row>
    <row r="72" spans="1:19" x14ac:dyDescent="0.2">
      <c r="A72" s="24">
        <v>256</v>
      </c>
      <c r="B72" s="25" t="s">
        <v>124</v>
      </c>
      <c r="C72" s="27">
        <v>0</v>
      </c>
      <c r="D72" s="27">
        <v>0</v>
      </c>
      <c r="E72" s="27">
        <v>0</v>
      </c>
      <c r="F72" s="48">
        <f>2035-1000-300</f>
        <v>735</v>
      </c>
      <c r="G72" s="30">
        <f t="shared" si="26"/>
        <v>735</v>
      </c>
      <c r="H72" s="27">
        <f>SUM(2035-1000-300)</f>
        <v>735</v>
      </c>
      <c r="I72" s="27">
        <v>0</v>
      </c>
      <c r="J72" s="26">
        <f>SUM(34.49+3.51+551.05+11.78)</f>
        <v>600.82999999999993</v>
      </c>
      <c r="K72" s="50">
        <f>34.49+7.02+551.05+11.78</f>
        <v>604.33999999999992</v>
      </c>
      <c r="L72" s="32">
        <f t="shared" si="27"/>
        <v>130.66000000000008</v>
      </c>
      <c r="M72" s="32">
        <f t="shared" si="31"/>
        <v>0</v>
      </c>
      <c r="N72" s="32">
        <f t="shared" si="28"/>
        <v>130.66000000000008</v>
      </c>
      <c r="O72" s="35">
        <f>34.49+3.51</f>
        <v>38</v>
      </c>
      <c r="P72" s="33">
        <f t="shared" si="29"/>
        <v>566.33999999999992</v>
      </c>
      <c r="Q72" s="34">
        <f t="shared" si="16"/>
        <v>0.82223129251700666</v>
      </c>
      <c r="R72" s="34">
        <f t="shared" si="17"/>
        <v>0.81745578231292504</v>
      </c>
      <c r="S72" s="34">
        <f t="shared" si="30"/>
        <v>0.82223129251700666</v>
      </c>
    </row>
    <row r="73" spans="1:19" x14ac:dyDescent="0.2">
      <c r="A73" s="24">
        <v>259</v>
      </c>
      <c r="B73" s="25" t="s">
        <v>125</v>
      </c>
      <c r="C73" s="26">
        <v>1000</v>
      </c>
      <c r="D73" s="27">
        <v>0</v>
      </c>
      <c r="E73" s="28">
        <v>1000</v>
      </c>
      <c r="F73" s="48">
        <v>100</v>
      </c>
      <c r="G73" s="30">
        <f t="shared" si="26"/>
        <v>1100</v>
      </c>
      <c r="H73" s="27">
        <f>SUM(300-300+100+500+500)</f>
        <v>1100</v>
      </c>
      <c r="I73" s="27">
        <v>0</v>
      </c>
      <c r="J73" s="26">
        <f>SUM(98.23+391.53+312.63)</f>
        <v>802.39</v>
      </c>
      <c r="K73" s="50">
        <f>98.23+391.53+312.63</f>
        <v>802.39</v>
      </c>
      <c r="L73" s="32">
        <f t="shared" si="27"/>
        <v>297.61</v>
      </c>
      <c r="M73" s="32">
        <f t="shared" si="31"/>
        <v>0</v>
      </c>
      <c r="N73" s="32">
        <f t="shared" si="28"/>
        <v>297.61</v>
      </c>
      <c r="O73" s="27">
        <f>98.23+150.57</f>
        <v>248.8</v>
      </c>
      <c r="P73" s="33">
        <f t="shared" si="29"/>
        <v>553.58999999999992</v>
      </c>
      <c r="Q73" s="34">
        <f t="shared" si="16"/>
        <v>0.72944545454545451</v>
      </c>
      <c r="R73" s="34">
        <f t="shared" si="17"/>
        <v>0.72944545454545451</v>
      </c>
      <c r="S73" s="34">
        <f t="shared" si="30"/>
        <v>0.72944545454545451</v>
      </c>
    </row>
    <row r="74" spans="1:19" x14ac:dyDescent="0.2">
      <c r="A74" s="24" t="s">
        <v>126</v>
      </c>
      <c r="B74" s="25" t="s">
        <v>127</v>
      </c>
      <c r="C74" s="27">
        <v>0</v>
      </c>
      <c r="D74" s="27">
        <v>0</v>
      </c>
      <c r="E74" s="27">
        <v>0</v>
      </c>
      <c r="F74" s="48">
        <v>792</v>
      </c>
      <c r="G74" s="30">
        <f t="shared" si="26"/>
        <v>792</v>
      </c>
      <c r="H74" s="27">
        <v>792</v>
      </c>
      <c r="I74" s="27">
        <v>0</v>
      </c>
      <c r="J74" s="26">
        <f>SUM(791.8)</f>
        <v>791.8</v>
      </c>
      <c r="K74" s="50">
        <f>(791.8)</f>
        <v>791.8</v>
      </c>
      <c r="L74" s="32">
        <f t="shared" si="27"/>
        <v>0.20000000000004547</v>
      </c>
      <c r="M74" s="32">
        <f t="shared" si="31"/>
        <v>0</v>
      </c>
      <c r="N74" s="32">
        <f t="shared" si="28"/>
        <v>0.20000000000004547</v>
      </c>
      <c r="O74" s="35">
        <v>791.8</v>
      </c>
      <c r="P74" s="33">
        <f t="shared" si="29"/>
        <v>0</v>
      </c>
      <c r="Q74" s="34">
        <f t="shared" si="16"/>
        <v>0.99974747474747472</v>
      </c>
      <c r="R74" s="34">
        <f t="shared" si="17"/>
        <v>0.99974747474747472</v>
      </c>
      <c r="S74" s="34">
        <f t="shared" si="30"/>
        <v>0.99974747474747472</v>
      </c>
    </row>
    <row r="75" spans="1:19" x14ac:dyDescent="0.2">
      <c r="A75" s="24">
        <v>262</v>
      </c>
      <c r="B75" s="25" t="s">
        <v>128</v>
      </c>
      <c r="C75" s="27">
        <v>0</v>
      </c>
      <c r="D75" s="27">
        <v>0</v>
      </c>
      <c r="E75" s="27">
        <v>0</v>
      </c>
      <c r="F75" s="48">
        <f>267+200</f>
        <v>467</v>
      </c>
      <c r="G75" s="30">
        <f t="shared" si="26"/>
        <v>467</v>
      </c>
      <c r="H75" s="27">
        <f>267+200</f>
        <v>467</v>
      </c>
      <c r="I75" s="27">
        <v>0</v>
      </c>
      <c r="J75" s="35">
        <f>10.67+159.91+9.63</f>
        <v>180.20999999999998</v>
      </c>
      <c r="K75" s="50">
        <f>21.34+159.91+9.63</f>
        <v>190.88</v>
      </c>
      <c r="L75" s="32">
        <f t="shared" si="27"/>
        <v>276.12</v>
      </c>
      <c r="M75" s="32">
        <f t="shared" si="31"/>
        <v>0</v>
      </c>
      <c r="N75" s="32">
        <f t="shared" si="28"/>
        <v>276.12</v>
      </c>
      <c r="O75" s="35">
        <v>10.67</v>
      </c>
      <c r="P75" s="33">
        <f t="shared" si="29"/>
        <v>180.21</v>
      </c>
      <c r="Q75" s="34">
        <f t="shared" si="16"/>
        <v>0.40873661670235545</v>
      </c>
      <c r="R75" s="34">
        <f t="shared" si="17"/>
        <v>0.38588865096359737</v>
      </c>
      <c r="S75" s="34">
        <f t="shared" si="30"/>
        <v>0.40873661670235545</v>
      </c>
    </row>
    <row r="76" spans="1:19" x14ac:dyDescent="0.2">
      <c r="A76" s="36" t="s">
        <v>129</v>
      </c>
      <c r="B76" s="55" t="s">
        <v>130</v>
      </c>
      <c r="C76" s="26">
        <v>2501</v>
      </c>
      <c r="D76" s="27">
        <v>0</v>
      </c>
      <c r="E76" s="28">
        <v>2501</v>
      </c>
      <c r="F76" s="48">
        <f>6000-5000</f>
        <v>1000</v>
      </c>
      <c r="G76" s="30">
        <f t="shared" si="26"/>
        <v>3501</v>
      </c>
      <c r="H76" s="27">
        <f>SUM(6501+499-3499)</f>
        <v>3501</v>
      </c>
      <c r="I76" s="27">
        <v>0</v>
      </c>
      <c r="J76" s="26">
        <f>157.33+359.09-91.59+320.14</f>
        <v>744.96999999999991</v>
      </c>
      <c r="K76" s="50">
        <f>157.33+359.09-91.59+320.14</f>
        <v>744.96999999999991</v>
      </c>
      <c r="L76" s="32">
        <f t="shared" si="27"/>
        <v>2756.03</v>
      </c>
      <c r="M76" s="32">
        <f t="shared" si="31"/>
        <v>0</v>
      </c>
      <c r="N76" s="32">
        <f t="shared" si="28"/>
        <v>2756.03</v>
      </c>
      <c r="O76" s="35">
        <f>67.36+267.5</f>
        <v>334.86</v>
      </c>
      <c r="P76" s="33">
        <f t="shared" si="29"/>
        <v>410.1099999999999</v>
      </c>
      <c r="Q76" s="34">
        <f t="shared" si="16"/>
        <v>0.21278777492145098</v>
      </c>
      <c r="R76" s="34">
        <f t="shared" si="17"/>
        <v>0.21278777492145098</v>
      </c>
      <c r="S76" s="34">
        <f t="shared" si="30"/>
        <v>0.21278777492145098</v>
      </c>
    </row>
    <row r="77" spans="1:19" x14ac:dyDescent="0.2">
      <c r="A77" s="24" t="s">
        <v>131</v>
      </c>
      <c r="B77" s="25" t="s">
        <v>132</v>
      </c>
      <c r="C77" s="27">
        <v>0</v>
      </c>
      <c r="D77" s="27">
        <v>0</v>
      </c>
      <c r="E77" s="27">
        <v>0</v>
      </c>
      <c r="F77" s="48">
        <f>3259-1100+500</f>
        <v>2659</v>
      </c>
      <c r="G77" s="30">
        <f t="shared" si="26"/>
        <v>2659</v>
      </c>
      <c r="H77" s="27">
        <f>SUM(553+2706-1100+500)</f>
        <v>2659</v>
      </c>
      <c r="I77" s="27">
        <v>0</v>
      </c>
      <c r="J77" s="26">
        <f>SUM(552.12+205.65+58.56+1296.45+59.4)</f>
        <v>2172.1799999999998</v>
      </c>
      <c r="K77" s="50">
        <f>757.77+58.56+1296.45+59.4</f>
        <v>2172.1799999999998</v>
      </c>
      <c r="L77" s="32">
        <f t="shared" si="27"/>
        <v>486.82000000000016</v>
      </c>
      <c r="M77" s="32">
        <f t="shared" si="31"/>
        <v>0</v>
      </c>
      <c r="N77" s="32">
        <f t="shared" si="28"/>
        <v>486.82000000000016</v>
      </c>
      <c r="O77" s="35">
        <f>615.25+70.62+130.46+7.66</f>
        <v>823.99</v>
      </c>
      <c r="P77" s="33">
        <f t="shared" si="29"/>
        <v>1348.1899999999998</v>
      </c>
      <c r="Q77" s="34">
        <f t="shared" si="16"/>
        <v>0.81691613388491913</v>
      </c>
      <c r="R77" s="34">
        <f t="shared" si="17"/>
        <v>0.81691613388491913</v>
      </c>
      <c r="S77" s="34">
        <f t="shared" si="30"/>
        <v>0.81691613388491913</v>
      </c>
    </row>
    <row r="78" spans="1:19" x14ac:dyDescent="0.2">
      <c r="A78" s="24" t="s">
        <v>133</v>
      </c>
      <c r="B78" s="25" t="s">
        <v>134</v>
      </c>
      <c r="C78" s="26">
        <v>1000</v>
      </c>
      <c r="D78" s="27">
        <v>0</v>
      </c>
      <c r="E78" s="28">
        <v>1000</v>
      </c>
      <c r="F78" s="48">
        <f>200-300-200</f>
        <v>-300</v>
      </c>
      <c r="G78" s="30">
        <f t="shared" si="26"/>
        <v>700</v>
      </c>
      <c r="H78" s="27">
        <f>SUM(700+250-250)</f>
        <v>700</v>
      </c>
      <c r="I78" s="27">
        <v>0</v>
      </c>
      <c r="J78" s="26">
        <v>0</v>
      </c>
      <c r="K78" s="50">
        <v>0</v>
      </c>
      <c r="L78" s="32">
        <f t="shared" si="27"/>
        <v>700</v>
      </c>
      <c r="M78" s="32">
        <f t="shared" si="31"/>
        <v>0</v>
      </c>
      <c r="N78" s="32">
        <f t="shared" si="28"/>
        <v>700</v>
      </c>
      <c r="O78" s="35">
        <v>0</v>
      </c>
      <c r="P78" s="33">
        <f t="shared" si="29"/>
        <v>0</v>
      </c>
      <c r="Q78" s="34">
        <f t="shared" si="16"/>
        <v>0</v>
      </c>
      <c r="R78" s="34">
        <f t="shared" si="17"/>
        <v>0</v>
      </c>
      <c r="S78" s="34">
        <f t="shared" si="30"/>
        <v>0</v>
      </c>
    </row>
    <row r="79" spans="1:19" x14ac:dyDescent="0.2">
      <c r="A79" s="24" t="s">
        <v>135</v>
      </c>
      <c r="B79" s="25" t="s">
        <v>136</v>
      </c>
      <c r="C79" s="26">
        <v>237</v>
      </c>
      <c r="D79" s="27">
        <v>0</v>
      </c>
      <c r="E79" s="28">
        <v>237</v>
      </c>
      <c r="F79" s="48">
        <f>171+2000+1500</f>
        <v>3671</v>
      </c>
      <c r="G79" s="30">
        <f t="shared" si="26"/>
        <v>3908</v>
      </c>
      <c r="H79" s="27">
        <f>SUM(237+171+2000+1500)</f>
        <v>3908</v>
      </c>
      <c r="I79" s="27">
        <v>0</v>
      </c>
      <c r="J79" s="26">
        <f>406.19+1310.94-769.09+1049.3+105.92-26-0.48</f>
        <v>2076.7800000000002</v>
      </c>
      <c r="K79" s="50">
        <f>406.19+1310.94+541.85+1049.3+105.92-26-0.48</f>
        <v>3387.72</v>
      </c>
      <c r="L79" s="32">
        <f t="shared" si="27"/>
        <v>520.2800000000002</v>
      </c>
      <c r="M79" s="32">
        <f t="shared" si="31"/>
        <v>0</v>
      </c>
      <c r="N79" s="32">
        <f t="shared" si="28"/>
        <v>520.2800000000002</v>
      </c>
      <c r="O79" s="35">
        <f>406.19+541.85</f>
        <v>948.04</v>
      </c>
      <c r="P79" s="33">
        <f t="shared" si="29"/>
        <v>2439.6799999999998</v>
      </c>
      <c r="Q79" s="34">
        <f t="shared" si="16"/>
        <v>0.86686796315250758</v>
      </c>
      <c r="R79" s="34">
        <f t="shared" si="17"/>
        <v>0.53141760491299905</v>
      </c>
      <c r="S79" s="34">
        <f t="shared" si="30"/>
        <v>0.86686796315250758</v>
      </c>
    </row>
    <row r="80" spans="1:19" x14ac:dyDescent="0.2">
      <c r="A80" s="24" t="s">
        <v>137</v>
      </c>
      <c r="B80" s="25" t="s">
        <v>138</v>
      </c>
      <c r="C80" s="26">
        <v>6000</v>
      </c>
      <c r="D80" s="27">
        <v>0</v>
      </c>
      <c r="E80" s="28">
        <v>6000</v>
      </c>
      <c r="F80" s="48">
        <f>4371+1600-2500</f>
        <v>3471</v>
      </c>
      <c r="G80" s="30">
        <f t="shared" si="26"/>
        <v>9471</v>
      </c>
      <c r="H80" s="27">
        <f>SUM(3000-429+4800+1600-1000+1500)</f>
        <v>9471</v>
      </c>
      <c r="I80" s="27">
        <v>0</v>
      </c>
      <c r="J80" s="26">
        <f>SUM(1588.12+111.97+1226.36+37.07+3907.31-266.51)</f>
        <v>6604.32</v>
      </c>
      <c r="K80" s="50">
        <f>1700.09+161.91+1064.45+44.13+3907.31-266.51</f>
        <v>6611.3799999999992</v>
      </c>
      <c r="L80" s="32">
        <f t="shared" si="27"/>
        <v>2859.6200000000008</v>
      </c>
      <c r="M80" s="32">
        <f t="shared" si="31"/>
        <v>0</v>
      </c>
      <c r="N80" s="32">
        <f t="shared" si="28"/>
        <v>2859.6200000000008</v>
      </c>
      <c r="O80" s="27">
        <f>271.62+183.74+149.02+3907.31</f>
        <v>4511.6899999999996</v>
      </c>
      <c r="P80" s="33">
        <f t="shared" si="29"/>
        <v>2099.6899999999996</v>
      </c>
      <c r="Q80" s="34">
        <f t="shared" si="16"/>
        <v>0.69806567416323506</v>
      </c>
      <c r="R80" s="34">
        <f t="shared" si="17"/>
        <v>0.69732024073487486</v>
      </c>
      <c r="S80" s="34">
        <f t="shared" si="30"/>
        <v>0.69806567416323506</v>
      </c>
    </row>
    <row r="81" spans="1:44" x14ac:dyDescent="0.2">
      <c r="A81" s="24" t="s">
        <v>139</v>
      </c>
      <c r="B81" s="25" t="s">
        <v>140</v>
      </c>
      <c r="C81" s="26">
        <v>2500</v>
      </c>
      <c r="D81" s="27">
        <v>0</v>
      </c>
      <c r="E81" s="28">
        <v>2500</v>
      </c>
      <c r="F81" s="48">
        <f>2000-1000</f>
        <v>1000</v>
      </c>
      <c r="G81" s="30">
        <f t="shared" si="26"/>
        <v>3500</v>
      </c>
      <c r="H81" s="27">
        <f>SUM(3000+500)</f>
        <v>3500</v>
      </c>
      <c r="I81" s="27">
        <v>0</v>
      </c>
      <c r="J81" s="27">
        <f>258.94+414.09</f>
        <v>673.03</v>
      </c>
      <c r="K81" s="50">
        <f>2000-1741.06+414.09</f>
        <v>673.03</v>
      </c>
      <c r="L81" s="32">
        <f t="shared" si="27"/>
        <v>2826.9700000000003</v>
      </c>
      <c r="M81" s="32">
        <f t="shared" si="31"/>
        <v>0</v>
      </c>
      <c r="N81" s="32">
        <f t="shared" si="28"/>
        <v>2826.9700000000003</v>
      </c>
      <c r="O81" s="35">
        <v>0</v>
      </c>
      <c r="P81" s="33">
        <f t="shared" si="29"/>
        <v>673.03</v>
      </c>
      <c r="Q81" s="34">
        <f t="shared" si="16"/>
        <v>0.1922942857142857</v>
      </c>
      <c r="R81" s="34">
        <f t="shared" si="17"/>
        <v>0.1922942857142857</v>
      </c>
      <c r="S81" s="34">
        <f t="shared" si="30"/>
        <v>0.1922942857142857</v>
      </c>
    </row>
    <row r="82" spans="1:44" x14ac:dyDescent="0.2">
      <c r="A82" s="36" t="s">
        <v>141</v>
      </c>
      <c r="B82" s="25" t="s">
        <v>142</v>
      </c>
      <c r="C82" s="26">
        <v>7020</v>
      </c>
      <c r="D82" s="27">
        <v>0</v>
      </c>
      <c r="E82" s="28">
        <v>7020</v>
      </c>
      <c r="F82" s="48">
        <f>2000-400-3000</f>
        <v>-1400</v>
      </c>
      <c r="G82" s="30">
        <f t="shared" si="26"/>
        <v>5620</v>
      </c>
      <c r="H82" s="27">
        <f>SUM(5000-400+2000-980)</f>
        <v>5620</v>
      </c>
      <c r="I82" s="27">
        <v>0</v>
      </c>
      <c r="J82" s="26">
        <f>SUM(423.19+419.44+806.67+99.46+199.68+25.09-25-0.09)</f>
        <v>1948.44</v>
      </c>
      <c r="K82" s="50">
        <f>423.19+509.41+1559.95+180.69+28.48+25.09-25-0.09</f>
        <v>2701.7200000000003</v>
      </c>
      <c r="L82" s="32">
        <f t="shared" si="27"/>
        <v>2918.2799999999997</v>
      </c>
      <c r="M82" s="32">
        <f t="shared" si="31"/>
        <v>0</v>
      </c>
      <c r="N82" s="32">
        <f t="shared" si="28"/>
        <v>2918.2799999999997</v>
      </c>
      <c r="O82" s="35">
        <f>783.24+56.66+59.39+242.48</f>
        <v>1141.77</v>
      </c>
      <c r="P82" s="33">
        <f t="shared" si="29"/>
        <v>1559.9500000000003</v>
      </c>
      <c r="Q82" s="34">
        <f t="shared" si="16"/>
        <v>0.48073309608540932</v>
      </c>
      <c r="R82" s="34">
        <f t="shared" si="17"/>
        <v>0.34669750889679718</v>
      </c>
      <c r="S82" s="34">
        <f t="shared" si="30"/>
        <v>0.48073309608540932</v>
      </c>
    </row>
    <row r="83" spans="1:44" x14ac:dyDescent="0.2">
      <c r="A83" s="24">
        <v>292</v>
      </c>
      <c r="B83" s="25" t="s">
        <v>143</v>
      </c>
      <c r="C83" s="27">
        <v>0</v>
      </c>
      <c r="D83" s="27">
        <v>0</v>
      </c>
      <c r="E83" s="27">
        <v>0</v>
      </c>
      <c r="F83" s="48">
        <v>69</v>
      </c>
      <c r="G83" s="30">
        <f t="shared" si="26"/>
        <v>69</v>
      </c>
      <c r="H83" s="27">
        <v>69</v>
      </c>
      <c r="I83" s="27">
        <v>0</v>
      </c>
      <c r="J83" s="35">
        <f>68.46</f>
        <v>68.459999999999994</v>
      </c>
      <c r="K83" s="50">
        <f>68.46-68.46+68.46</f>
        <v>68.459999999999994</v>
      </c>
      <c r="L83" s="32">
        <f t="shared" si="27"/>
        <v>0.54000000000000625</v>
      </c>
      <c r="M83" s="32">
        <f t="shared" si="31"/>
        <v>0</v>
      </c>
      <c r="N83" s="32">
        <f t="shared" si="28"/>
        <v>0.54000000000000625</v>
      </c>
      <c r="O83" s="35">
        <v>0</v>
      </c>
      <c r="P83" s="33">
        <f t="shared" si="29"/>
        <v>68.459999999999994</v>
      </c>
      <c r="Q83" s="34">
        <f t="shared" si="16"/>
        <v>0.99217391304347813</v>
      </c>
      <c r="R83" s="34">
        <f t="shared" si="17"/>
        <v>0.99217391304347813</v>
      </c>
      <c r="S83" s="34">
        <f t="shared" si="30"/>
        <v>0.99217391304347813</v>
      </c>
    </row>
    <row r="84" spans="1:44" ht="17" thickBot="1" x14ac:dyDescent="0.25">
      <c r="A84" s="24">
        <v>297</v>
      </c>
      <c r="B84" s="25" t="s">
        <v>144</v>
      </c>
      <c r="C84" s="27">
        <v>0</v>
      </c>
      <c r="D84" s="27">
        <v>0</v>
      </c>
      <c r="E84" s="27">
        <v>0</v>
      </c>
      <c r="F84" s="48">
        <v>78</v>
      </c>
      <c r="G84" s="30">
        <f t="shared" si="26"/>
        <v>78</v>
      </c>
      <c r="H84" s="27">
        <v>78</v>
      </c>
      <c r="I84" s="27">
        <v>0</v>
      </c>
      <c r="J84" s="35">
        <f>10.69</f>
        <v>10.69</v>
      </c>
      <c r="K84" s="50">
        <f>10.69-10.69+10.69</f>
        <v>10.69</v>
      </c>
      <c r="L84" s="32">
        <f t="shared" si="27"/>
        <v>67.31</v>
      </c>
      <c r="M84" s="32">
        <f t="shared" si="31"/>
        <v>0</v>
      </c>
      <c r="N84" s="32">
        <f t="shared" si="28"/>
        <v>67.31</v>
      </c>
      <c r="O84" s="35">
        <v>0</v>
      </c>
      <c r="P84" s="33">
        <f t="shared" si="29"/>
        <v>10.69</v>
      </c>
      <c r="Q84" s="34">
        <f t="shared" si="16"/>
        <v>0.13705128205128206</v>
      </c>
      <c r="R84" s="34">
        <f t="shared" si="17"/>
        <v>0.13705128205128206</v>
      </c>
      <c r="S84" s="34">
        <f t="shared" si="30"/>
        <v>0.13705128205128206</v>
      </c>
    </row>
    <row r="85" spans="1:44" ht="32.5" customHeight="1" thickBot="1" x14ac:dyDescent="0.25">
      <c r="A85" s="56">
        <v>3</v>
      </c>
      <c r="B85" s="40" t="s">
        <v>145</v>
      </c>
      <c r="C85" s="57">
        <f t="shared" ref="C85:P85" si="32">SUM(C86:C92)</f>
        <v>0</v>
      </c>
      <c r="D85" s="57">
        <f t="shared" si="32"/>
        <v>0</v>
      </c>
      <c r="E85" s="57">
        <f t="shared" si="32"/>
        <v>0</v>
      </c>
      <c r="F85" s="58">
        <f>SUM(F86:F92)</f>
        <v>38159</v>
      </c>
      <c r="G85" s="59">
        <f>SUM(G86:G92)</f>
        <v>38159</v>
      </c>
      <c r="H85" s="57">
        <f t="shared" si="32"/>
        <v>38159</v>
      </c>
      <c r="I85" s="57">
        <f t="shared" si="32"/>
        <v>0</v>
      </c>
      <c r="J85" s="57">
        <f t="shared" si="32"/>
        <v>37732.35</v>
      </c>
      <c r="K85" s="57">
        <f t="shared" si="32"/>
        <v>37732.35</v>
      </c>
      <c r="L85" s="57">
        <f t="shared" si="32"/>
        <v>426.64999999999964</v>
      </c>
      <c r="M85" s="57">
        <f t="shared" si="32"/>
        <v>0</v>
      </c>
      <c r="N85" s="57">
        <f t="shared" si="32"/>
        <v>426.64999999999964</v>
      </c>
      <c r="O85" s="57">
        <f t="shared" si="32"/>
        <v>4886.1000000000004</v>
      </c>
      <c r="P85" s="59">
        <f t="shared" si="32"/>
        <v>32846.25</v>
      </c>
      <c r="Q85" s="45">
        <f t="shared" si="16"/>
        <v>0.98881915144526844</v>
      </c>
      <c r="R85" s="60">
        <f t="shared" si="17"/>
        <v>0.98881915144526844</v>
      </c>
      <c r="S85" s="61">
        <f t="shared" si="30"/>
        <v>0.98881915144526844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</row>
    <row r="86" spans="1:44" s="13" customFormat="1" x14ac:dyDescent="0.2">
      <c r="A86" s="24" t="s">
        <v>146</v>
      </c>
      <c r="B86" s="62" t="s">
        <v>147</v>
      </c>
      <c r="C86" s="27">
        <v>0</v>
      </c>
      <c r="D86" s="27">
        <v>0</v>
      </c>
      <c r="E86" s="27">
        <v>0</v>
      </c>
      <c r="F86" s="63">
        <v>400</v>
      </c>
      <c r="G86" s="30">
        <f>SUM(E86+F86)</f>
        <v>400</v>
      </c>
      <c r="H86" s="27">
        <v>400</v>
      </c>
      <c r="I86" s="27">
        <v>0</v>
      </c>
      <c r="J86" s="27">
        <v>0</v>
      </c>
      <c r="K86" s="50">
        <f>299.95-299.95</f>
        <v>0</v>
      </c>
      <c r="L86" s="32">
        <f t="shared" ref="L86:L92" si="33">SUM(H86-K86)</f>
        <v>400</v>
      </c>
      <c r="M86" s="32">
        <f>SUM(G86-H86)</f>
        <v>0</v>
      </c>
      <c r="N86" s="32">
        <f t="shared" ref="N86:N92" si="34">SUM(-I86+L86+M86)</f>
        <v>400</v>
      </c>
      <c r="O86" s="27">
        <v>0</v>
      </c>
      <c r="P86" s="33">
        <f t="shared" ref="P86:P92" si="35">SUM(K86-O86)</f>
        <v>0</v>
      </c>
      <c r="Q86" s="34">
        <f t="shared" si="16"/>
        <v>0</v>
      </c>
      <c r="R86" s="34">
        <f t="shared" si="17"/>
        <v>0</v>
      </c>
      <c r="S86" s="34">
        <f t="shared" si="30"/>
        <v>0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2">
      <c r="A87" s="24">
        <v>314</v>
      </c>
      <c r="B87" s="62" t="s">
        <v>148</v>
      </c>
      <c r="C87" s="27">
        <v>0</v>
      </c>
      <c r="D87" s="27">
        <v>0</v>
      </c>
      <c r="E87" s="27">
        <v>0</v>
      </c>
      <c r="F87" s="63">
        <f>37887-5040</f>
        <v>32847</v>
      </c>
      <c r="G87" s="28">
        <f>37887-5040</f>
        <v>32847</v>
      </c>
      <c r="H87" s="27">
        <f>37887-5040</f>
        <v>32847</v>
      </c>
      <c r="I87" s="27"/>
      <c r="J87" s="27">
        <f>32846+0.25</f>
        <v>32846.25</v>
      </c>
      <c r="K87" s="50">
        <v>32846.25</v>
      </c>
      <c r="L87" s="32">
        <f t="shared" si="33"/>
        <v>0.75</v>
      </c>
      <c r="M87" s="32"/>
      <c r="N87" s="32">
        <f t="shared" si="34"/>
        <v>0.75</v>
      </c>
      <c r="O87" s="27"/>
      <c r="P87" s="33">
        <f t="shared" si="35"/>
        <v>32846.25</v>
      </c>
      <c r="Q87" s="34">
        <f t="shared" si="16"/>
        <v>0.99997716686455385</v>
      </c>
      <c r="R87" s="34">
        <f t="shared" si="17"/>
        <v>0.99997716686455385</v>
      </c>
      <c r="S87" s="34">
        <f t="shared" si="30"/>
        <v>0.99997716686455385</v>
      </c>
    </row>
    <row r="88" spans="1:44" x14ac:dyDescent="0.2">
      <c r="A88" s="24">
        <v>320</v>
      </c>
      <c r="B88" s="62" t="s">
        <v>149</v>
      </c>
      <c r="C88" s="27">
        <v>0</v>
      </c>
      <c r="D88" s="27">
        <v>0</v>
      </c>
      <c r="E88" s="27">
        <v>0</v>
      </c>
      <c r="F88" s="63">
        <v>0</v>
      </c>
      <c r="G88" s="27">
        <v>0</v>
      </c>
      <c r="H88" s="27">
        <v>0</v>
      </c>
      <c r="I88" s="27">
        <v>0</v>
      </c>
      <c r="J88" s="27">
        <v>0</v>
      </c>
      <c r="K88" s="50">
        <v>0</v>
      </c>
      <c r="L88" s="32">
        <f t="shared" si="33"/>
        <v>0</v>
      </c>
      <c r="M88" s="32">
        <f>SUM(G88-H88)</f>
        <v>0</v>
      </c>
      <c r="N88" s="32">
        <f t="shared" si="34"/>
        <v>0</v>
      </c>
      <c r="O88" s="27">
        <v>0</v>
      </c>
      <c r="P88" s="33">
        <f t="shared" si="35"/>
        <v>0</v>
      </c>
      <c r="Q88" s="34">
        <v>0</v>
      </c>
      <c r="R88" s="34">
        <v>0</v>
      </c>
      <c r="S88" s="34">
        <v>0</v>
      </c>
    </row>
    <row r="89" spans="1:44" x14ac:dyDescent="0.2">
      <c r="A89" s="24" t="s">
        <v>150</v>
      </c>
      <c r="B89" s="62" t="s">
        <v>151</v>
      </c>
      <c r="C89" s="27">
        <v>0</v>
      </c>
      <c r="D89" s="27">
        <v>0</v>
      </c>
      <c r="E89" s="27">
        <v>0</v>
      </c>
      <c r="F89" s="63">
        <v>0</v>
      </c>
      <c r="G89" s="27">
        <v>0</v>
      </c>
      <c r="H89" s="27">
        <v>0</v>
      </c>
      <c r="I89" s="27">
        <v>0</v>
      </c>
      <c r="J89" s="27">
        <v>0</v>
      </c>
      <c r="K89" s="50">
        <v>0</v>
      </c>
      <c r="L89" s="32">
        <f t="shared" si="33"/>
        <v>0</v>
      </c>
      <c r="M89" s="32">
        <f>SUM(G89-H89)</f>
        <v>0</v>
      </c>
      <c r="N89" s="32">
        <f t="shared" si="34"/>
        <v>0</v>
      </c>
      <c r="O89" s="27">
        <v>0</v>
      </c>
      <c r="P89" s="33">
        <f t="shared" si="35"/>
        <v>0</v>
      </c>
      <c r="Q89" s="34">
        <v>0</v>
      </c>
      <c r="R89" s="34">
        <v>0</v>
      </c>
      <c r="S89" s="34">
        <v>0</v>
      </c>
    </row>
    <row r="90" spans="1:44" x14ac:dyDescent="0.2">
      <c r="A90" s="24" t="s">
        <v>152</v>
      </c>
      <c r="B90" s="62" t="s">
        <v>153</v>
      </c>
      <c r="C90" s="27">
        <v>0</v>
      </c>
      <c r="D90" s="27">
        <v>0</v>
      </c>
      <c r="E90" s="27">
        <v>0</v>
      </c>
      <c r="F90" s="63">
        <v>4887</v>
      </c>
      <c r="G90" s="30">
        <f>SUM(E90+F90)</f>
        <v>4887</v>
      </c>
      <c r="H90" s="27">
        <v>4887</v>
      </c>
      <c r="I90" s="27">
        <v>0</v>
      </c>
      <c r="J90" s="27">
        <v>4886.1000000000004</v>
      </c>
      <c r="K90" s="50">
        <v>4886.1000000000004</v>
      </c>
      <c r="L90" s="32">
        <f t="shared" si="33"/>
        <v>0.8999999999996362</v>
      </c>
      <c r="M90" s="32">
        <f>SUM(G90-H90)</f>
        <v>0</v>
      </c>
      <c r="N90" s="32">
        <f t="shared" si="34"/>
        <v>0.8999999999996362</v>
      </c>
      <c r="O90" s="27">
        <v>4886.1000000000004</v>
      </c>
      <c r="P90" s="33">
        <f t="shared" si="35"/>
        <v>0</v>
      </c>
      <c r="Q90" s="34">
        <f>SUM(K90/H90*100%)</f>
        <v>0.99981583793738493</v>
      </c>
      <c r="R90" s="34">
        <f>SUM(J90/G90*100%)</f>
        <v>0.99981583793738493</v>
      </c>
      <c r="S90" s="34">
        <f>SUM(K90/G90*100%)</f>
        <v>0.99981583793738493</v>
      </c>
    </row>
    <row r="91" spans="1:44" x14ac:dyDescent="0.2">
      <c r="A91" s="24" t="s">
        <v>154</v>
      </c>
      <c r="B91" s="62" t="s">
        <v>145</v>
      </c>
      <c r="C91" s="27">
        <v>0</v>
      </c>
      <c r="D91" s="27">
        <v>0</v>
      </c>
      <c r="E91" s="27">
        <v>0</v>
      </c>
      <c r="F91" s="63">
        <f>25</f>
        <v>25</v>
      </c>
      <c r="G91" s="27">
        <f>25</f>
        <v>25</v>
      </c>
      <c r="H91" s="27">
        <f>25</f>
        <v>25</v>
      </c>
      <c r="I91" s="27">
        <v>0</v>
      </c>
      <c r="J91" s="27">
        <v>0</v>
      </c>
      <c r="K91" s="50">
        <v>0</v>
      </c>
      <c r="L91" s="32">
        <f t="shared" si="33"/>
        <v>25</v>
      </c>
      <c r="M91" s="32">
        <f>SUM(G91-H91)</f>
        <v>0</v>
      </c>
      <c r="N91" s="32">
        <f t="shared" si="34"/>
        <v>25</v>
      </c>
      <c r="O91" s="27">
        <v>0</v>
      </c>
      <c r="P91" s="33">
        <f t="shared" si="35"/>
        <v>0</v>
      </c>
      <c r="Q91" s="34">
        <f>SUM(K91/H91*100%)</f>
        <v>0</v>
      </c>
      <c r="R91" s="34">
        <f>SUM(J91/G91*100%)</f>
        <v>0</v>
      </c>
      <c r="S91" s="34">
        <v>0</v>
      </c>
    </row>
    <row r="92" spans="1:44" ht="17" thickBot="1" x14ac:dyDescent="0.25">
      <c r="A92" s="24">
        <v>380</v>
      </c>
      <c r="B92" s="62" t="s">
        <v>155</v>
      </c>
      <c r="C92" s="27">
        <v>0</v>
      </c>
      <c r="D92" s="27">
        <v>0</v>
      </c>
      <c r="E92" s="27">
        <v>0</v>
      </c>
      <c r="F92" s="63">
        <v>0</v>
      </c>
      <c r="G92" s="27">
        <v>0</v>
      </c>
      <c r="H92" s="27">
        <v>0</v>
      </c>
      <c r="I92" s="27">
        <v>0</v>
      </c>
      <c r="J92" s="27">
        <v>0</v>
      </c>
      <c r="K92" s="50">
        <v>0</v>
      </c>
      <c r="L92" s="32">
        <f t="shared" si="33"/>
        <v>0</v>
      </c>
      <c r="M92" s="32">
        <f>SUM(G92-H92)</f>
        <v>0</v>
      </c>
      <c r="N92" s="32">
        <f t="shared" si="34"/>
        <v>0</v>
      </c>
      <c r="O92" s="27">
        <v>0</v>
      </c>
      <c r="P92" s="33">
        <f t="shared" si="35"/>
        <v>0</v>
      </c>
      <c r="Q92" s="34">
        <v>0</v>
      </c>
      <c r="R92" s="34">
        <v>0</v>
      </c>
      <c r="S92" s="34">
        <v>0</v>
      </c>
    </row>
    <row r="93" spans="1:44" ht="17" thickBot="1" x14ac:dyDescent="0.25">
      <c r="A93" s="64">
        <v>6</v>
      </c>
      <c r="B93" s="65" t="s">
        <v>156</v>
      </c>
      <c r="C93" s="66">
        <f>SUM(C95:C98)</f>
        <v>268</v>
      </c>
      <c r="D93" s="66">
        <f>SUM(D95:D98)</f>
        <v>0</v>
      </c>
      <c r="E93" s="66">
        <f>SUM(E95:E98)</f>
        <v>268</v>
      </c>
      <c r="F93" s="67">
        <f>SUM(F94:F98)</f>
        <v>47727</v>
      </c>
      <c r="G93" s="68">
        <f>SUM(G94:G98)</f>
        <v>47995</v>
      </c>
      <c r="H93" s="66">
        <f>SUM(H94:H98)</f>
        <v>47995</v>
      </c>
      <c r="I93" s="66">
        <f>SUM(I95:I98)</f>
        <v>0</v>
      </c>
      <c r="J93" s="66">
        <f>SUM(J95:J98)</f>
        <v>46368.5</v>
      </c>
      <c r="K93" s="69">
        <f>SUM(K94:K98)</f>
        <v>46368.5</v>
      </c>
      <c r="L93" s="66">
        <f>SUM(L95:L98)</f>
        <v>1626.5</v>
      </c>
      <c r="M93" s="66">
        <f>SUM(M95:M98)</f>
        <v>0</v>
      </c>
      <c r="N93" s="66">
        <f>SUM(N95:N98)</f>
        <v>1626.5</v>
      </c>
      <c r="O93" s="66">
        <f>SUM(O95:O98)</f>
        <v>0</v>
      </c>
      <c r="P93" s="66">
        <f>SUM(P95:P98)</f>
        <v>16368.5</v>
      </c>
      <c r="Q93" s="45">
        <f>SUM(K93/H93*100%)</f>
        <v>0.96611105323471191</v>
      </c>
      <c r="R93" s="45">
        <f>SUM(J93/G93*100%)</f>
        <v>0.96611105323471191</v>
      </c>
      <c r="S93" s="45">
        <f>SUM(K93/G93*100%)</f>
        <v>0.96611105323471191</v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spans="1:44" s="13" customFormat="1" ht="22.5" customHeight="1" x14ac:dyDescent="0.2">
      <c r="A94" s="36">
        <v>612</v>
      </c>
      <c r="B94" s="25" t="s">
        <v>157</v>
      </c>
      <c r="C94" s="70">
        <v>0</v>
      </c>
      <c r="D94" s="70">
        <v>0</v>
      </c>
      <c r="E94" s="70">
        <v>0</v>
      </c>
      <c r="F94" s="71">
        <f>15727-15727</f>
        <v>0</v>
      </c>
      <c r="G94" s="27">
        <v>0</v>
      </c>
      <c r="H94" s="70">
        <f>15727-15727</f>
        <v>0</v>
      </c>
      <c r="I94" s="27">
        <v>0</v>
      </c>
      <c r="J94" s="70">
        <v>0</v>
      </c>
      <c r="K94" s="72">
        <f>15726.5-15726.5</f>
        <v>0</v>
      </c>
      <c r="L94" s="70">
        <f>SUM(H94-K94)</f>
        <v>0</v>
      </c>
      <c r="M94" s="32">
        <f>SUM(G94-H94)</f>
        <v>0</v>
      </c>
      <c r="N94" s="70">
        <f>SUM(-I94+L94+M94)</f>
        <v>0</v>
      </c>
      <c r="O94" s="70">
        <v>0</v>
      </c>
      <c r="P94" s="33">
        <f>SUM(K94-O94)</f>
        <v>0</v>
      </c>
      <c r="Q94" s="34">
        <v>0</v>
      </c>
      <c r="R94" s="34">
        <v>0</v>
      </c>
      <c r="S94" s="34">
        <v>0</v>
      </c>
    </row>
    <row r="95" spans="1:44" s="13" customFormat="1" x14ac:dyDescent="0.2">
      <c r="A95" s="36" t="s">
        <v>158</v>
      </c>
      <c r="B95" s="25" t="s">
        <v>159</v>
      </c>
      <c r="C95" s="27">
        <v>0</v>
      </c>
      <c r="D95" s="27">
        <v>0</v>
      </c>
      <c r="E95" s="27">
        <v>0</v>
      </c>
      <c r="F95" s="63">
        <f>1500-1500+2000</f>
        <v>2000</v>
      </c>
      <c r="G95" s="27">
        <f>2000</f>
        <v>2000</v>
      </c>
      <c r="H95" s="27">
        <f>2000</f>
        <v>2000</v>
      </c>
      <c r="I95" s="27">
        <v>0</v>
      </c>
      <c r="J95" s="27">
        <f>642</f>
        <v>642</v>
      </c>
      <c r="K95" s="50">
        <f>642</f>
        <v>642</v>
      </c>
      <c r="L95" s="32">
        <f>SUM(H95-K95)</f>
        <v>1358</v>
      </c>
      <c r="M95" s="32">
        <f>SUM(G95-H95)</f>
        <v>0</v>
      </c>
      <c r="N95" s="32">
        <f>SUM(-I95+L95+M95)</f>
        <v>1358</v>
      </c>
      <c r="O95" s="27">
        <v>0</v>
      </c>
      <c r="P95" s="33">
        <f>SUM(K95-O95)</f>
        <v>642</v>
      </c>
      <c r="Q95" s="34">
        <f t="shared" ref="Q95:Q103" si="36">SUM(K95/H95*100%)</f>
        <v>0.32100000000000001</v>
      </c>
      <c r="R95" s="34">
        <f t="shared" ref="R95:R103" si="37">SUM(J95/G95*100%)</f>
        <v>0.32100000000000001</v>
      </c>
      <c r="S95" s="34">
        <v>0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2">
      <c r="A96" s="36" t="s">
        <v>160</v>
      </c>
      <c r="B96" s="25" t="s">
        <v>161</v>
      </c>
      <c r="C96" s="26">
        <v>268</v>
      </c>
      <c r="D96" s="27">
        <v>0</v>
      </c>
      <c r="E96" s="28">
        <v>268</v>
      </c>
      <c r="F96" s="63">
        <v>0</v>
      </c>
      <c r="G96" s="30">
        <f>SUM(E96+F96)</f>
        <v>268</v>
      </c>
      <c r="H96" s="27">
        <v>268</v>
      </c>
      <c r="I96" s="27">
        <v>0</v>
      </c>
      <c r="J96" s="27">
        <v>0</v>
      </c>
      <c r="K96" s="50">
        <v>0</v>
      </c>
      <c r="L96" s="32">
        <f>SUM(H96-K96)</f>
        <v>268</v>
      </c>
      <c r="M96" s="32">
        <f>SUM(G96-H96)</f>
        <v>0</v>
      </c>
      <c r="N96" s="32">
        <f>SUM(-I96+L96+M96)</f>
        <v>268</v>
      </c>
      <c r="O96" s="27">
        <v>0</v>
      </c>
      <c r="P96" s="33">
        <f>SUM(K96-O96)</f>
        <v>0</v>
      </c>
      <c r="Q96" s="34">
        <f t="shared" si="36"/>
        <v>0</v>
      </c>
      <c r="R96" s="34">
        <f t="shared" si="37"/>
        <v>0</v>
      </c>
      <c r="S96" s="34">
        <f>SUM(K96/G96*100%)</f>
        <v>0</v>
      </c>
    </row>
    <row r="97" spans="1:44" x14ac:dyDescent="0.2">
      <c r="A97" s="36">
        <v>669</v>
      </c>
      <c r="B97" s="25" t="s">
        <v>162</v>
      </c>
      <c r="C97" s="26"/>
      <c r="D97" s="27"/>
      <c r="E97" s="28"/>
      <c r="F97" s="63">
        <f>30000</f>
        <v>30000</v>
      </c>
      <c r="G97" s="30">
        <f>30000</f>
        <v>30000</v>
      </c>
      <c r="H97" s="27">
        <f>30000</f>
        <v>30000</v>
      </c>
      <c r="I97" s="27"/>
      <c r="J97" s="27">
        <f>30000</f>
        <v>30000</v>
      </c>
      <c r="K97" s="50">
        <f>30000</f>
        <v>30000</v>
      </c>
      <c r="L97" s="32"/>
      <c r="M97" s="32"/>
      <c r="N97" s="32"/>
      <c r="O97" s="27"/>
      <c r="P97" s="33"/>
      <c r="Q97" s="34">
        <f t="shared" si="36"/>
        <v>1</v>
      </c>
      <c r="R97" s="34">
        <f t="shared" si="37"/>
        <v>1</v>
      </c>
      <c r="S97" s="34"/>
    </row>
    <row r="98" spans="1:44" ht="17" thickBot="1" x14ac:dyDescent="0.25">
      <c r="A98" s="36">
        <v>692</v>
      </c>
      <c r="B98" s="25" t="s">
        <v>163</v>
      </c>
      <c r="C98" s="27">
        <v>0</v>
      </c>
      <c r="D98" s="27">
        <v>0</v>
      </c>
      <c r="E98" s="27">
        <v>0</v>
      </c>
      <c r="F98" s="63">
        <v>15727</v>
      </c>
      <c r="G98" s="30">
        <f>SUM(E98+F98)</f>
        <v>15727</v>
      </c>
      <c r="H98" s="27">
        <v>15727</v>
      </c>
      <c r="I98" s="27">
        <v>0</v>
      </c>
      <c r="J98" s="27">
        <v>15726.5</v>
      </c>
      <c r="K98" s="50">
        <v>15726.5</v>
      </c>
      <c r="L98" s="32">
        <f>SUM(H98-K98)</f>
        <v>0.5</v>
      </c>
      <c r="M98" s="32">
        <f>SUM(G98-H98)</f>
        <v>0</v>
      </c>
      <c r="N98" s="32">
        <f>SUM(-I98+L98+M98)</f>
        <v>0.5</v>
      </c>
      <c r="O98" s="27">
        <v>0</v>
      </c>
      <c r="P98" s="33">
        <f>SUM(K98-O98)</f>
        <v>15726.5</v>
      </c>
      <c r="Q98" s="34">
        <f t="shared" si="36"/>
        <v>0.99996820754117122</v>
      </c>
      <c r="R98" s="34">
        <f t="shared" si="37"/>
        <v>0.99996820754117122</v>
      </c>
      <c r="S98" s="34">
        <f t="shared" ref="S98:S103" si="38">SUM(K98/G98*100%)</f>
        <v>0.99996820754117122</v>
      </c>
    </row>
    <row r="99" spans="1:44" ht="17" thickBot="1" x14ac:dyDescent="0.25">
      <c r="A99" s="73"/>
      <c r="B99" s="74" t="s">
        <v>164</v>
      </c>
      <c r="C99" s="75">
        <v>0</v>
      </c>
      <c r="D99" s="74">
        <v>0</v>
      </c>
      <c r="E99" s="74">
        <v>0</v>
      </c>
      <c r="F99" s="76">
        <f>SUM(F100+F102)</f>
        <v>100000</v>
      </c>
      <c r="G99" s="77">
        <f>SUM(G100+G102)</f>
        <v>100000</v>
      </c>
      <c r="H99" s="78">
        <f>SUM(H100+H102)</f>
        <v>100000</v>
      </c>
      <c r="I99" s="79">
        <v>0</v>
      </c>
      <c r="J99" s="78">
        <f>SUM(J100+J102)</f>
        <v>88620.47</v>
      </c>
      <c r="K99" s="80">
        <f>SUM(K100+K102)</f>
        <v>88620.47</v>
      </c>
      <c r="L99" s="81">
        <f>SUM(L100+L102)</f>
        <v>11379.529999999997</v>
      </c>
      <c r="M99" s="66">
        <f>SUM(M103:M105)</f>
        <v>0</v>
      </c>
      <c r="N99" s="66">
        <f>SUM(N100+N102)</f>
        <v>11379.529999999997</v>
      </c>
      <c r="O99" s="66">
        <f>SUM(O100+O102)</f>
        <v>23878.37</v>
      </c>
      <c r="P99" s="66">
        <f>SUM(P100+P102)</f>
        <v>64742.1</v>
      </c>
      <c r="Q99" s="45">
        <f t="shared" si="36"/>
        <v>0.88620469999999996</v>
      </c>
      <c r="R99" s="45">
        <f t="shared" si="37"/>
        <v>0.88620469999999996</v>
      </c>
      <c r="S99" s="82">
        <f t="shared" si="38"/>
        <v>0.88620469999999996</v>
      </c>
    </row>
    <row r="100" spans="1:44" ht="17" thickBot="1" x14ac:dyDescent="0.25">
      <c r="A100" s="64">
        <v>2</v>
      </c>
      <c r="B100" s="65" t="s">
        <v>94</v>
      </c>
      <c r="C100" s="66">
        <v>0</v>
      </c>
      <c r="D100" s="66">
        <v>0</v>
      </c>
      <c r="E100" s="66">
        <v>0</v>
      </c>
      <c r="F100" s="67">
        <f>F101</f>
        <v>3627</v>
      </c>
      <c r="G100" s="68">
        <f>G101</f>
        <v>3627</v>
      </c>
      <c r="H100" s="66">
        <f>H101</f>
        <v>3627</v>
      </c>
      <c r="I100" s="66">
        <v>0</v>
      </c>
      <c r="J100" s="66">
        <f>J101</f>
        <v>3623.23</v>
      </c>
      <c r="K100" s="69">
        <f>K101</f>
        <v>3623.23</v>
      </c>
      <c r="L100" s="66">
        <f>SUM(H100-K100)</f>
        <v>3.7699999999999818</v>
      </c>
      <c r="M100" s="66">
        <v>0</v>
      </c>
      <c r="N100" s="66">
        <f>SUM(-I100+L100+M100)</f>
        <v>3.7699999999999818</v>
      </c>
      <c r="O100" s="66">
        <f>O101</f>
        <v>2118.6</v>
      </c>
      <c r="P100" s="83">
        <f>SUM(K100-O100)</f>
        <v>1504.63</v>
      </c>
      <c r="Q100" s="34">
        <f t="shared" si="36"/>
        <v>0.99896057347670253</v>
      </c>
      <c r="R100" s="34">
        <f t="shared" si="37"/>
        <v>0.99896057347670253</v>
      </c>
      <c r="S100" s="45">
        <f t="shared" si="38"/>
        <v>0.99896057347670253</v>
      </c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</row>
    <row r="101" spans="1:44" ht="17" thickBot="1" x14ac:dyDescent="0.25">
      <c r="A101" s="47" t="s">
        <v>129</v>
      </c>
      <c r="B101" s="55" t="s">
        <v>130</v>
      </c>
      <c r="C101" s="84">
        <v>0</v>
      </c>
      <c r="D101" s="84">
        <v>0</v>
      </c>
      <c r="E101" s="84">
        <v>0</v>
      </c>
      <c r="F101" s="85">
        <f>2122+1505</f>
        <v>3627</v>
      </c>
      <c r="G101" s="86">
        <f>SUM(E101+F101)</f>
        <v>3627</v>
      </c>
      <c r="H101" s="84">
        <f>2122+1505</f>
        <v>3627</v>
      </c>
      <c r="I101" s="84">
        <v>0</v>
      </c>
      <c r="J101" s="87">
        <f>2118.6+1505-0.37</f>
        <v>3623.23</v>
      </c>
      <c r="K101" s="88">
        <f>2118.6+1504.63</f>
        <v>3623.23</v>
      </c>
      <c r="L101" s="84">
        <f>SUM(H101-K101)</f>
        <v>3.7699999999999818</v>
      </c>
      <c r="M101" s="89">
        <v>0</v>
      </c>
      <c r="N101" s="84">
        <f>SUM(-I101+L101+M101)</f>
        <v>3.7699999999999818</v>
      </c>
      <c r="O101" s="90">
        <v>2118.6</v>
      </c>
      <c r="P101" s="83">
        <f>SUM(K101-O101)</f>
        <v>1504.63</v>
      </c>
      <c r="Q101" s="91">
        <f t="shared" si="36"/>
        <v>0.99896057347670253</v>
      </c>
      <c r="R101" s="91">
        <f t="shared" si="37"/>
        <v>0.99896057347670253</v>
      </c>
      <c r="S101" s="34">
        <f t="shared" si="38"/>
        <v>0.99896057347670253</v>
      </c>
    </row>
    <row r="102" spans="1:44" s="13" customFormat="1" ht="22.5" customHeight="1" thickBot="1" x14ac:dyDescent="0.25">
      <c r="A102" s="64">
        <v>3</v>
      </c>
      <c r="B102" s="65" t="s">
        <v>145</v>
      </c>
      <c r="C102" s="66">
        <v>0</v>
      </c>
      <c r="D102" s="66">
        <v>0</v>
      </c>
      <c r="E102" s="66">
        <v>0</v>
      </c>
      <c r="F102" s="92">
        <f>SUM(F103:F109)</f>
        <v>96373</v>
      </c>
      <c r="G102" s="84">
        <f>SUM(G103:G109)</f>
        <v>96373</v>
      </c>
      <c r="H102" s="68">
        <f>SUM(H103:H109)</f>
        <v>96373</v>
      </c>
      <c r="I102" s="93">
        <v>0</v>
      </c>
      <c r="J102" s="94">
        <f>SUM(J103:J109)</f>
        <v>84997.24</v>
      </c>
      <c r="K102" s="66">
        <f>SUM(K103:K109)</f>
        <v>84997.24</v>
      </c>
      <c r="L102" s="66">
        <f>SUM(L103:L109)</f>
        <v>11375.759999999997</v>
      </c>
      <c r="M102" s="66">
        <v>0</v>
      </c>
      <c r="N102" s="68">
        <f>SUM(N103:N109)</f>
        <v>11375.759999999997</v>
      </c>
      <c r="O102" s="68">
        <f>SUM(O103:O109)</f>
        <v>21759.77</v>
      </c>
      <c r="P102" s="95">
        <f>SUM(P103:P109)</f>
        <v>63237.47</v>
      </c>
      <c r="Q102" s="96">
        <f t="shared" si="36"/>
        <v>0.88196113019206634</v>
      </c>
      <c r="R102" s="97">
        <f t="shared" si="37"/>
        <v>0.88196113019206634</v>
      </c>
      <c r="S102" s="96">
        <f t="shared" si="38"/>
        <v>0.88196113019206634</v>
      </c>
    </row>
    <row r="103" spans="1:44" ht="17" thickBot="1" x14ac:dyDescent="0.25">
      <c r="A103" s="47" t="s">
        <v>146</v>
      </c>
      <c r="B103" s="98" t="s">
        <v>147</v>
      </c>
      <c r="C103" s="99">
        <v>0</v>
      </c>
      <c r="D103" s="99">
        <v>0</v>
      </c>
      <c r="E103" s="99">
        <v>0</v>
      </c>
      <c r="F103" s="100">
        <f>40000-2122-32000-2000</f>
        <v>3878</v>
      </c>
      <c r="G103" s="101">
        <f t="shared" ref="G103:G109" si="39">SUM(E103+F103)</f>
        <v>3878</v>
      </c>
      <c r="H103" s="102">
        <f>SUM(40000-2122-32000-2000)</f>
        <v>3878</v>
      </c>
      <c r="I103" s="99">
        <v>0</v>
      </c>
      <c r="J103" s="27">
        <f>745.37+299.95</f>
        <v>1045.32</v>
      </c>
      <c r="K103" s="72">
        <f>745.37+299.95</f>
        <v>1045.32</v>
      </c>
      <c r="L103" s="99">
        <f>SUM(H103-K103)</f>
        <v>2832.6800000000003</v>
      </c>
      <c r="M103" s="103">
        <f>SUM(G103-H103)</f>
        <v>0</v>
      </c>
      <c r="N103" s="99">
        <f>SUM(-I103+L103+M103)</f>
        <v>2832.6800000000003</v>
      </c>
      <c r="O103" s="104">
        <v>745.37</v>
      </c>
      <c r="P103" s="105">
        <f t="shared" ref="P103:P109" si="40">SUM(K103-O103)</f>
        <v>299.94999999999993</v>
      </c>
      <c r="Q103" s="15">
        <f t="shared" si="36"/>
        <v>0.26955131511088187</v>
      </c>
      <c r="R103" s="15">
        <f t="shared" si="37"/>
        <v>0.26955131511088187</v>
      </c>
      <c r="S103" s="52">
        <f t="shared" si="38"/>
        <v>0.26955131511088187</v>
      </c>
    </row>
    <row r="104" spans="1:44" x14ac:dyDescent="0.2">
      <c r="A104" s="47">
        <v>314</v>
      </c>
      <c r="B104" s="98" t="s">
        <v>148</v>
      </c>
      <c r="C104" s="99">
        <v>0</v>
      </c>
      <c r="D104" s="99">
        <v>0</v>
      </c>
      <c r="E104" s="99">
        <v>0</v>
      </c>
      <c r="F104" s="106">
        <v>0</v>
      </c>
      <c r="G104" s="107">
        <f t="shared" si="39"/>
        <v>0</v>
      </c>
      <c r="H104" s="99">
        <v>0</v>
      </c>
      <c r="I104" s="99"/>
      <c r="J104" s="27"/>
      <c r="K104" s="72"/>
      <c r="L104" s="99"/>
      <c r="M104" s="103"/>
      <c r="N104" s="99"/>
      <c r="O104" s="104"/>
      <c r="P104" s="105">
        <f t="shared" si="40"/>
        <v>0</v>
      </c>
      <c r="Q104" s="108">
        <v>0</v>
      </c>
      <c r="R104" s="108">
        <v>0</v>
      </c>
      <c r="S104" s="108">
        <v>0</v>
      </c>
    </row>
    <row r="105" spans="1:44" x14ac:dyDescent="0.2">
      <c r="A105" s="24">
        <v>320</v>
      </c>
      <c r="B105" s="62" t="s">
        <v>149</v>
      </c>
      <c r="C105" s="109">
        <v>0</v>
      </c>
      <c r="D105" s="109">
        <v>0</v>
      </c>
      <c r="E105" s="109">
        <v>0</v>
      </c>
      <c r="F105" s="110">
        <f>4000-2000</f>
        <v>2000</v>
      </c>
      <c r="G105" s="111">
        <f t="shared" si="39"/>
        <v>2000</v>
      </c>
      <c r="H105" s="109">
        <f>4000-2000</f>
        <v>2000</v>
      </c>
      <c r="I105" s="109">
        <v>0</v>
      </c>
      <c r="J105" s="27">
        <f>1904.5+0.1</f>
        <v>1904.6</v>
      </c>
      <c r="K105" s="72">
        <v>1904.6</v>
      </c>
      <c r="L105" s="109">
        <f>SUM(H105-K105)</f>
        <v>95.400000000000091</v>
      </c>
      <c r="M105" s="33">
        <f>SUM(G105-H105)</f>
        <v>0</v>
      </c>
      <c r="N105" s="109">
        <f>SUM(-I105+L105+M105)</f>
        <v>95.400000000000091</v>
      </c>
      <c r="O105" s="112">
        <v>0</v>
      </c>
      <c r="P105" s="113">
        <f t="shared" si="40"/>
        <v>1904.6</v>
      </c>
      <c r="Q105" s="114">
        <f>SUM(K105/H105*100%)</f>
        <v>0.95229999999999992</v>
      </c>
      <c r="R105" s="114">
        <f>SUM(J105/G105*100%)</f>
        <v>0.95229999999999992</v>
      </c>
      <c r="S105" s="114">
        <f>SUM(K105/G105*100%)</f>
        <v>0.95229999999999992</v>
      </c>
    </row>
    <row r="106" spans="1:44" x14ac:dyDescent="0.2">
      <c r="A106" s="24" t="s">
        <v>150</v>
      </c>
      <c r="B106" s="62" t="s">
        <v>151</v>
      </c>
      <c r="C106" s="109">
        <v>0</v>
      </c>
      <c r="D106" s="109">
        <v>0</v>
      </c>
      <c r="E106" s="109">
        <v>0</v>
      </c>
      <c r="F106" s="110">
        <f>8000-3500</f>
        <v>4500</v>
      </c>
      <c r="G106" s="111">
        <f t="shared" si="39"/>
        <v>4500</v>
      </c>
      <c r="H106" s="109">
        <f>8000-3500</f>
        <v>4500</v>
      </c>
      <c r="I106" s="109">
        <v>0</v>
      </c>
      <c r="J106" s="27">
        <v>0</v>
      </c>
      <c r="K106" s="72">
        <v>0</v>
      </c>
      <c r="L106" s="109">
        <f>SUM(H106-K106)</f>
        <v>4500</v>
      </c>
      <c r="M106" s="33">
        <f>SUM(G106-H106)</f>
        <v>0</v>
      </c>
      <c r="N106" s="109">
        <f>SUM(-I106+L106+M106)</f>
        <v>4500</v>
      </c>
      <c r="O106" s="112">
        <v>0</v>
      </c>
      <c r="P106" s="113">
        <f t="shared" si="40"/>
        <v>0</v>
      </c>
      <c r="Q106" s="114">
        <f>SUM(K106/H106*100%)</f>
        <v>0</v>
      </c>
      <c r="R106" s="114">
        <f>SUM(J106/G106*100%)</f>
        <v>0</v>
      </c>
      <c r="S106" s="114">
        <v>0</v>
      </c>
    </row>
    <row r="107" spans="1:44" x14ac:dyDescent="0.2">
      <c r="A107" s="24" t="s">
        <v>152</v>
      </c>
      <c r="B107" s="62" t="s">
        <v>153</v>
      </c>
      <c r="C107" s="109">
        <v>0</v>
      </c>
      <c r="D107" s="109">
        <v>0</v>
      </c>
      <c r="E107" s="109">
        <v>0</v>
      </c>
      <c r="F107" s="110">
        <f>3000+15000</f>
        <v>18000</v>
      </c>
      <c r="G107" s="111">
        <f t="shared" si="39"/>
        <v>18000</v>
      </c>
      <c r="H107" s="109">
        <f>3000+15000</f>
        <v>18000</v>
      </c>
      <c r="I107" s="109">
        <v>0</v>
      </c>
      <c r="J107" s="27">
        <f>513.6+148.33+15301+1917.33</f>
        <v>17880.260000000002</v>
      </c>
      <c r="K107" s="72">
        <f>513.6+148.33+15301+1917.33</f>
        <v>17880.260000000002</v>
      </c>
      <c r="L107" s="109">
        <f>SUM(H107-K107)</f>
        <v>119.73999999999796</v>
      </c>
      <c r="M107" s="33">
        <f>SUM(G107-H107)</f>
        <v>0</v>
      </c>
      <c r="N107" s="109">
        <f>SUM(-I107+L107+M107)</f>
        <v>119.73999999999796</v>
      </c>
      <c r="O107" s="112">
        <f>513.6+148.33</f>
        <v>661.93000000000006</v>
      </c>
      <c r="P107" s="113">
        <f t="shared" si="40"/>
        <v>17218.330000000002</v>
      </c>
      <c r="Q107" s="114">
        <f>SUM(K107/H107*100%)</f>
        <v>0.99334777777777794</v>
      </c>
      <c r="R107" s="114">
        <f>SUM(J107/G107*100%)</f>
        <v>0.99334777777777794</v>
      </c>
      <c r="S107" s="114">
        <f>SUM(K107/G107*100%)</f>
        <v>0.99334777777777794</v>
      </c>
    </row>
    <row r="108" spans="1:44" x14ac:dyDescent="0.2">
      <c r="A108" s="24" t="s">
        <v>154</v>
      </c>
      <c r="B108" s="62" t="s">
        <v>145</v>
      </c>
      <c r="C108" s="109">
        <v>0</v>
      </c>
      <c r="D108" s="109">
        <v>0</v>
      </c>
      <c r="E108" s="109">
        <v>0</v>
      </c>
      <c r="F108" s="110">
        <f>5000+5500+1000</f>
        <v>11500</v>
      </c>
      <c r="G108" s="111">
        <f t="shared" si="39"/>
        <v>11500</v>
      </c>
      <c r="H108" s="109">
        <f>5000+5500+1000</f>
        <v>11500</v>
      </c>
      <c r="I108" s="109">
        <v>0</v>
      </c>
      <c r="J108" s="27">
        <f>9915.3+1118.15+460.1</f>
        <v>11493.55</v>
      </c>
      <c r="K108" s="72">
        <f>9915.3+1118.15+460.1</f>
        <v>11493.55</v>
      </c>
      <c r="L108" s="109">
        <f>SUM(H108-K108)</f>
        <v>6.4500000000007276</v>
      </c>
      <c r="M108" s="33">
        <f>SUM(G108-H108)</f>
        <v>0</v>
      </c>
      <c r="N108" s="109">
        <f>SUM(-I108+L108+M108)</f>
        <v>6.4500000000007276</v>
      </c>
      <c r="O108" s="112">
        <f>3975.05+3697.92</f>
        <v>7672.97</v>
      </c>
      <c r="P108" s="113">
        <f t="shared" si="40"/>
        <v>3820.579999999999</v>
      </c>
      <c r="Q108" s="114">
        <f>SUM(K108/H108*100%)</f>
        <v>0.9994391304347825</v>
      </c>
      <c r="R108" s="114">
        <f>SUM(J108/G108*100%)</f>
        <v>0.9994391304347825</v>
      </c>
      <c r="S108" s="114">
        <f>SUM(K108/G108*100%)</f>
        <v>0.9994391304347825</v>
      </c>
    </row>
    <row r="109" spans="1:44" ht="17" thickBot="1" x14ac:dyDescent="0.25">
      <c r="A109" s="115">
        <v>380</v>
      </c>
      <c r="B109" s="116" t="s">
        <v>155</v>
      </c>
      <c r="C109" s="117">
        <v>0</v>
      </c>
      <c r="D109" s="117">
        <v>0</v>
      </c>
      <c r="E109" s="117">
        <v>0</v>
      </c>
      <c r="F109" s="118">
        <f>40000+30000-13505</f>
        <v>56495</v>
      </c>
      <c r="G109" s="119">
        <f t="shared" si="39"/>
        <v>56495</v>
      </c>
      <c r="H109" s="117">
        <f>40000+30000-13505</f>
        <v>56495</v>
      </c>
      <c r="I109" s="117">
        <v>0</v>
      </c>
      <c r="J109" s="120">
        <f>23309.95+15836+1107.4+11036.01+1384.15</f>
        <v>52673.51</v>
      </c>
      <c r="K109" s="121">
        <f>26466.45+12679.5+1107.4+11036.01+1384.15</f>
        <v>52673.51</v>
      </c>
      <c r="L109" s="117">
        <f>SUM(H109-K109)</f>
        <v>3821.489999999998</v>
      </c>
      <c r="M109" s="122">
        <f>SUM(G109-H109)</f>
        <v>0</v>
      </c>
      <c r="N109" s="117">
        <f>SUM(-I109+L109+M109)</f>
        <v>3821.489999999998</v>
      </c>
      <c r="O109" s="123">
        <v>12679.5</v>
      </c>
      <c r="P109" s="124">
        <f t="shared" si="40"/>
        <v>39994.01</v>
      </c>
      <c r="Q109" s="125">
        <f>SUM(K109/H109*100%)</f>
        <v>0.93235702274537569</v>
      </c>
      <c r="R109" s="125">
        <f>SUM(J109/G109*100%)</f>
        <v>0.93235702274537569</v>
      </c>
      <c r="S109" s="125">
        <f>SUM(K109/G109*100%)</f>
        <v>0.93235702274537569</v>
      </c>
    </row>
  </sheetData>
  <mergeCells count="7">
    <mergeCell ref="A8:B8"/>
    <mergeCell ref="A1:S1"/>
    <mergeCell ref="A2:S2"/>
    <mergeCell ref="A3:S3"/>
    <mergeCell ref="A4:S4"/>
    <mergeCell ref="A5:S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septiembre 2021 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Microsoft Office User</cp:lastModifiedBy>
  <dcterms:created xsi:type="dcterms:W3CDTF">2021-10-07T23:15:45Z</dcterms:created>
  <dcterms:modified xsi:type="dcterms:W3CDTF">2021-10-20T21:07:14Z</dcterms:modified>
</cp:coreProperties>
</file>