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jrodriguez/Desktop/"/>
    </mc:Choice>
  </mc:AlternateContent>
  <xr:revisionPtr revIDLastSave="0" documentId="8_{50FE6BED-D4F0-3B49-98BB-4D06A99B6DBA}" xr6:coauthVersionLast="46" xr6:coauthVersionMax="46" xr10:uidLastSave="{00000000-0000-0000-0000-000000000000}"/>
  <bookViews>
    <workbookView xWindow="0" yWindow="460" windowWidth="16400" windowHeight="6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K110" i="1"/>
  <c r="J110" i="1"/>
  <c r="H110" i="1"/>
  <c r="L110" i="1" s="1"/>
  <c r="N110" i="1" s="1"/>
  <c r="F110" i="1"/>
  <c r="G110" i="1" s="1"/>
  <c r="M110" i="1" s="1"/>
  <c r="O109" i="1"/>
  <c r="K109" i="1"/>
  <c r="J109" i="1"/>
  <c r="H109" i="1"/>
  <c r="Q109" i="1" s="1"/>
  <c r="F109" i="1"/>
  <c r="G109" i="1" s="1"/>
  <c r="M109" i="1" s="1"/>
  <c r="O108" i="1"/>
  <c r="L108" i="1"/>
  <c r="N108" i="1" s="1"/>
  <c r="K108" i="1"/>
  <c r="J108" i="1"/>
  <c r="H108" i="1"/>
  <c r="G108" i="1"/>
  <c r="M108" i="1" s="1"/>
  <c r="F108" i="1"/>
  <c r="Q107" i="1"/>
  <c r="P107" i="1"/>
  <c r="L107" i="1"/>
  <c r="H107" i="1"/>
  <c r="G107" i="1"/>
  <c r="F107" i="1"/>
  <c r="Q106" i="1"/>
  <c r="P106" i="1"/>
  <c r="J106" i="1"/>
  <c r="H106" i="1"/>
  <c r="F106" i="1"/>
  <c r="P105" i="1"/>
  <c r="G105" i="1"/>
  <c r="O104" i="1"/>
  <c r="L104" i="1"/>
  <c r="N104" i="1" s="1"/>
  <c r="K104" i="1"/>
  <c r="J104" i="1"/>
  <c r="J103" i="1" s="1"/>
  <c r="H104" i="1"/>
  <c r="G104" i="1"/>
  <c r="M104" i="1" s="1"/>
  <c r="F104" i="1"/>
  <c r="O103" i="1"/>
  <c r="Q102" i="1"/>
  <c r="O102" i="1"/>
  <c r="L102" i="1"/>
  <c r="N102" i="1" s="1"/>
  <c r="K102" i="1"/>
  <c r="P102" i="1" s="1"/>
  <c r="J102" i="1"/>
  <c r="H102" i="1"/>
  <c r="G102" i="1"/>
  <c r="S102" i="1" s="1"/>
  <c r="F102" i="1"/>
  <c r="O101" i="1"/>
  <c r="O100" i="1" s="1"/>
  <c r="K101" i="1"/>
  <c r="S101" i="1" s="1"/>
  <c r="H101" i="1"/>
  <c r="G101" i="1"/>
  <c r="F101" i="1"/>
  <c r="Q99" i="1"/>
  <c r="P99" i="1"/>
  <c r="M99" i="1"/>
  <c r="L99" i="1"/>
  <c r="G99" i="1"/>
  <c r="S99" i="1" s="1"/>
  <c r="O98" i="1"/>
  <c r="O94" i="1" s="1"/>
  <c r="K98" i="1"/>
  <c r="J98" i="1"/>
  <c r="R98" i="1" s="1"/>
  <c r="H98" i="1"/>
  <c r="Q98" i="1" s="1"/>
  <c r="G98" i="1"/>
  <c r="F98" i="1"/>
  <c r="P97" i="1"/>
  <c r="H97" i="1"/>
  <c r="L97" i="1" s="1"/>
  <c r="F97" i="1"/>
  <c r="G97" i="1" s="1"/>
  <c r="M97" i="1" s="1"/>
  <c r="K96" i="1"/>
  <c r="J96" i="1"/>
  <c r="H96" i="1"/>
  <c r="F96" i="1"/>
  <c r="G96" i="1" s="1"/>
  <c r="R96" i="1" s="1"/>
  <c r="K95" i="1"/>
  <c r="P95" i="1" s="1"/>
  <c r="H95" i="1"/>
  <c r="L95" i="1" s="1"/>
  <c r="F95" i="1"/>
  <c r="G95" i="1" s="1"/>
  <c r="J94" i="1"/>
  <c r="I94" i="1"/>
  <c r="F94" i="1"/>
  <c r="E94" i="1"/>
  <c r="D94" i="1"/>
  <c r="C94" i="1"/>
  <c r="K93" i="1"/>
  <c r="P93" i="1" s="1"/>
  <c r="J93" i="1"/>
  <c r="H93" i="1"/>
  <c r="L93" i="1" s="1"/>
  <c r="F93" i="1"/>
  <c r="G93" i="1" s="1"/>
  <c r="M93" i="1" s="1"/>
  <c r="Q92" i="1"/>
  <c r="K92" i="1"/>
  <c r="P92" i="1" s="1"/>
  <c r="H92" i="1"/>
  <c r="F92" i="1"/>
  <c r="G92" i="1" s="1"/>
  <c r="K91" i="1"/>
  <c r="J91" i="1"/>
  <c r="H91" i="1"/>
  <c r="F91" i="1"/>
  <c r="G91" i="1" s="1"/>
  <c r="R91" i="1" s="1"/>
  <c r="P90" i="1"/>
  <c r="L90" i="1"/>
  <c r="G90" i="1"/>
  <c r="M90" i="1" s="1"/>
  <c r="N90" i="1" s="1"/>
  <c r="P89" i="1"/>
  <c r="L89" i="1"/>
  <c r="H89" i="1"/>
  <c r="Q89" i="1" s="1"/>
  <c r="G89" i="1"/>
  <c r="S89" i="1" s="1"/>
  <c r="F89" i="1"/>
  <c r="P88" i="1"/>
  <c r="J88" i="1"/>
  <c r="H88" i="1"/>
  <c r="L88" i="1" s="1"/>
  <c r="N88" i="1" s="1"/>
  <c r="F88" i="1"/>
  <c r="G88" i="1" s="1"/>
  <c r="S88" i="1" s="1"/>
  <c r="Q87" i="1"/>
  <c r="K87" i="1"/>
  <c r="P87" i="1" s="1"/>
  <c r="H87" i="1"/>
  <c r="F87" i="1"/>
  <c r="G87" i="1" s="1"/>
  <c r="O86" i="1"/>
  <c r="J86" i="1"/>
  <c r="I86" i="1"/>
  <c r="E86" i="1"/>
  <c r="D86" i="1"/>
  <c r="C86" i="1"/>
  <c r="O85" i="1"/>
  <c r="K85" i="1"/>
  <c r="J85" i="1"/>
  <c r="R85" i="1" s="1"/>
  <c r="H85" i="1"/>
  <c r="F85" i="1"/>
  <c r="G85" i="1" s="1"/>
  <c r="R84" i="1"/>
  <c r="O84" i="1"/>
  <c r="K84" i="1"/>
  <c r="Q84" i="1" s="1"/>
  <c r="J84" i="1"/>
  <c r="G84" i="1"/>
  <c r="M84" i="1" s="1"/>
  <c r="O83" i="1"/>
  <c r="K83" i="1"/>
  <c r="S83" i="1" s="1"/>
  <c r="J83" i="1"/>
  <c r="H83" i="1"/>
  <c r="F83" i="1"/>
  <c r="G83" i="1" s="1"/>
  <c r="M83" i="1" s="1"/>
  <c r="O82" i="1"/>
  <c r="K82" i="1"/>
  <c r="Q82" i="1" s="1"/>
  <c r="J82" i="1"/>
  <c r="H82" i="1"/>
  <c r="L82" i="1" s="1"/>
  <c r="F82" i="1"/>
  <c r="G82" i="1" s="1"/>
  <c r="M82" i="1" s="1"/>
  <c r="O81" i="1"/>
  <c r="K81" i="1"/>
  <c r="J81" i="1"/>
  <c r="H81" i="1"/>
  <c r="F81" i="1"/>
  <c r="G81" i="1" s="1"/>
  <c r="O80" i="1"/>
  <c r="K80" i="1"/>
  <c r="P80" i="1" s="1"/>
  <c r="J80" i="1"/>
  <c r="R80" i="1" s="1"/>
  <c r="H80" i="1"/>
  <c r="L80" i="1" s="1"/>
  <c r="G80" i="1"/>
  <c r="F80" i="1"/>
  <c r="P79" i="1"/>
  <c r="H79" i="1"/>
  <c r="F79" i="1"/>
  <c r="G79" i="1" s="1"/>
  <c r="O78" i="1"/>
  <c r="K78" i="1"/>
  <c r="P78" i="1" s="1"/>
  <c r="J78" i="1"/>
  <c r="R78" i="1" s="1"/>
  <c r="H78" i="1"/>
  <c r="L78" i="1" s="1"/>
  <c r="G78" i="1"/>
  <c r="F78" i="1"/>
  <c r="O77" i="1"/>
  <c r="K77" i="1"/>
  <c r="J77" i="1"/>
  <c r="H77" i="1"/>
  <c r="F77" i="1"/>
  <c r="G77" i="1" s="1"/>
  <c r="M77" i="1" s="1"/>
  <c r="P76" i="1"/>
  <c r="O76" i="1"/>
  <c r="K76" i="1"/>
  <c r="J76" i="1"/>
  <c r="H76" i="1"/>
  <c r="L76" i="1" s="1"/>
  <c r="F76" i="1"/>
  <c r="G76" i="1" s="1"/>
  <c r="M76" i="1" s="1"/>
  <c r="S75" i="1"/>
  <c r="Q75" i="1"/>
  <c r="K75" i="1"/>
  <c r="P75" i="1" s="1"/>
  <c r="J75" i="1"/>
  <c r="R75" i="1" s="1"/>
  <c r="G75" i="1"/>
  <c r="M75" i="1" s="1"/>
  <c r="O74" i="1"/>
  <c r="K74" i="1"/>
  <c r="Q74" i="1" s="1"/>
  <c r="J74" i="1"/>
  <c r="R74" i="1" s="1"/>
  <c r="H74" i="1"/>
  <c r="F74" i="1"/>
  <c r="G74" i="1" s="1"/>
  <c r="M74" i="1" s="1"/>
  <c r="O73" i="1"/>
  <c r="K73" i="1"/>
  <c r="Q73" i="1" s="1"/>
  <c r="J73" i="1"/>
  <c r="H73" i="1"/>
  <c r="F73" i="1"/>
  <c r="G73" i="1" s="1"/>
  <c r="M73" i="1" s="1"/>
  <c r="O72" i="1"/>
  <c r="K72" i="1"/>
  <c r="P72" i="1" s="1"/>
  <c r="J72" i="1"/>
  <c r="R72" i="1" s="1"/>
  <c r="H72" i="1"/>
  <c r="Q72" i="1" s="1"/>
  <c r="F72" i="1"/>
  <c r="G72" i="1" s="1"/>
  <c r="O71" i="1"/>
  <c r="K71" i="1"/>
  <c r="J71" i="1"/>
  <c r="H71" i="1"/>
  <c r="L71" i="1" s="1"/>
  <c r="F71" i="1"/>
  <c r="G71" i="1" s="1"/>
  <c r="M71" i="1" s="1"/>
  <c r="O70" i="1"/>
  <c r="K70" i="1"/>
  <c r="J70" i="1"/>
  <c r="H70" i="1"/>
  <c r="L70" i="1" s="1"/>
  <c r="F70" i="1"/>
  <c r="G70" i="1" s="1"/>
  <c r="K69" i="1"/>
  <c r="Q69" i="1" s="1"/>
  <c r="J69" i="1"/>
  <c r="H69" i="1"/>
  <c r="F69" i="1"/>
  <c r="G69" i="1" s="1"/>
  <c r="O68" i="1"/>
  <c r="K68" i="1"/>
  <c r="J68" i="1"/>
  <c r="H68" i="1"/>
  <c r="L68" i="1" s="1"/>
  <c r="F68" i="1"/>
  <c r="G68" i="1" s="1"/>
  <c r="L67" i="1"/>
  <c r="N67" i="1" s="1"/>
  <c r="K67" i="1"/>
  <c r="Q67" i="1" s="1"/>
  <c r="H67" i="1"/>
  <c r="F67" i="1"/>
  <c r="G67" i="1" s="1"/>
  <c r="O66" i="1"/>
  <c r="K66" i="1"/>
  <c r="L66" i="1" s="1"/>
  <c r="N66" i="1" s="1"/>
  <c r="J66" i="1"/>
  <c r="H66" i="1"/>
  <c r="F66" i="1"/>
  <c r="G66" i="1" s="1"/>
  <c r="M66" i="1" s="1"/>
  <c r="O65" i="1"/>
  <c r="K65" i="1"/>
  <c r="J65" i="1"/>
  <c r="H65" i="1"/>
  <c r="L65" i="1" s="1"/>
  <c r="F65" i="1"/>
  <c r="G65" i="1" s="1"/>
  <c r="K64" i="1"/>
  <c r="J64" i="1"/>
  <c r="H64" i="1"/>
  <c r="F64" i="1"/>
  <c r="G64" i="1" s="1"/>
  <c r="O63" i="1"/>
  <c r="K63" i="1"/>
  <c r="J63" i="1"/>
  <c r="H63" i="1"/>
  <c r="L63" i="1" s="1"/>
  <c r="N63" i="1" s="1"/>
  <c r="F63" i="1"/>
  <c r="G63" i="1" s="1"/>
  <c r="M63" i="1" s="1"/>
  <c r="Q62" i="1"/>
  <c r="O62" i="1"/>
  <c r="K62" i="1"/>
  <c r="H62" i="1"/>
  <c r="G62" i="1"/>
  <c r="R62" i="1" s="1"/>
  <c r="F62" i="1"/>
  <c r="O61" i="1"/>
  <c r="K61" i="1"/>
  <c r="J61" i="1"/>
  <c r="R61" i="1" s="1"/>
  <c r="H61" i="1"/>
  <c r="G61" i="1"/>
  <c r="M61" i="1" s="1"/>
  <c r="O60" i="1"/>
  <c r="K60" i="1"/>
  <c r="J60" i="1"/>
  <c r="H60" i="1"/>
  <c r="F60" i="1"/>
  <c r="G60" i="1" s="1"/>
  <c r="M60" i="1" s="1"/>
  <c r="O59" i="1"/>
  <c r="L59" i="1"/>
  <c r="N59" i="1" s="1"/>
  <c r="K59" i="1"/>
  <c r="J59" i="1"/>
  <c r="H59" i="1"/>
  <c r="G59" i="1"/>
  <c r="M59" i="1" s="1"/>
  <c r="F59" i="1"/>
  <c r="P58" i="1"/>
  <c r="H58" i="1"/>
  <c r="Q58" i="1" s="1"/>
  <c r="F58" i="1"/>
  <c r="G58" i="1" s="1"/>
  <c r="R58" i="1" s="1"/>
  <c r="O57" i="1"/>
  <c r="L57" i="1"/>
  <c r="K57" i="1"/>
  <c r="Q57" i="1" s="1"/>
  <c r="J57" i="1"/>
  <c r="G57" i="1"/>
  <c r="M57" i="1" s="1"/>
  <c r="Q56" i="1"/>
  <c r="P56" i="1"/>
  <c r="H56" i="1"/>
  <c r="L56" i="1" s="1"/>
  <c r="G56" i="1"/>
  <c r="F56" i="1"/>
  <c r="K55" i="1"/>
  <c r="P55" i="1" s="1"/>
  <c r="J55" i="1"/>
  <c r="H55" i="1"/>
  <c r="F55" i="1"/>
  <c r="G55" i="1" s="1"/>
  <c r="O54" i="1"/>
  <c r="L54" i="1"/>
  <c r="K54" i="1"/>
  <c r="S54" i="1" s="1"/>
  <c r="J54" i="1"/>
  <c r="H54" i="1"/>
  <c r="G54" i="1"/>
  <c r="F54" i="1"/>
  <c r="I53" i="1"/>
  <c r="E53" i="1"/>
  <c r="D53" i="1"/>
  <c r="C53" i="1"/>
  <c r="O52" i="1"/>
  <c r="L52" i="1"/>
  <c r="K52" i="1"/>
  <c r="P52" i="1" s="1"/>
  <c r="J52" i="1"/>
  <c r="G52" i="1"/>
  <c r="M52" i="1" s="1"/>
  <c r="O51" i="1"/>
  <c r="K51" i="1"/>
  <c r="J51" i="1"/>
  <c r="H51" i="1"/>
  <c r="F51" i="1"/>
  <c r="G51" i="1" s="1"/>
  <c r="P50" i="1"/>
  <c r="O50" i="1"/>
  <c r="K50" i="1"/>
  <c r="J50" i="1"/>
  <c r="R50" i="1" s="1"/>
  <c r="G50" i="1"/>
  <c r="M50" i="1" s="1"/>
  <c r="P49" i="1"/>
  <c r="L49" i="1"/>
  <c r="H49" i="1"/>
  <c r="Q49" i="1" s="1"/>
  <c r="F49" i="1"/>
  <c r="G49" i="1" s="1"/>
  <c r="S49" i="1" s="1"/>
  <c r="P48" i="1"/>
  <c r="L48" i="1"/>
  <c r="H48" i="1"/>
  <c r="Q48" i="1" s="1"/>
  <c r="F48" i="1"/>
  <c r="G48" i="1" s="1"/>
  <c r="S48" i="1" s="1"/>
  <c r="K47" i="1"/>
  <c r="P47" i="1" s="1"/>
  <c r="J47" i="1"/>
  <c r="H47" i="1"/>
  <c r="Q47" i="1" s="1"/>
  <c r="G47" i="1"/>
  <c r="F47" i="1"/>
  <c r="O46" i="1"/>
  <c r="K46" i="1"/>
  <c r="J46" i="1"/>
  <c r="H46" i="1"/>
  <c r="F46" i="1"/>
  <c r="G46" i="1" s="1"/>
  <c r="M46" i="1" s="1"/>
  <c r="R45" i="1"/>
  <c r="P45" i="1"/>
  <c r="O45" i="1"/>
  <c r="H45" i="1"/>
  <c r="Q45" i="1" s="1"/>
  <c r="G45" i="1"/>
  <c r="O44" i="1"/>
  <c r="L44" i="1"/>
  <c r="K44" i="1"/>
  <c r="P44" i="1" s="1"/>
  <c r="H44" i="1"/>
  <c r="F44" i="1"/>
  <c r="G44" i="1" s="1"/>
  <c r="M44" i="1" s="1"/>
  <c r="P43" i="1"/>
  <c r="H43" i="1"/>
  <c r="Q43" i="1" s="1"/>
  <c r="G43" i="1"/>
  <c r="S43" i="1" s="1"/>
  <c r="F43" i="1"/>
  <c r="O42" i="1"/>
  <c r="K42" i="1"/>
  <c r="J42" i="1"/>
  <c r="H42" i="1"/>
  <c r="L42" i="1" s="1"/>
  <c r="F42" i="1"/>
  <c r="G42" i="1" s="1"/>
  <c r="O41" i="1"/>
  <c r="K41" i="1"/>
  <c r="J41" i="1"/>
  <c r="H41" i="1"/>
  <c r="L41" i="1" s="1"/>
  <c r="N41" i="1" s="1"/>
  <c r="F41" i="1"/>
  <c r="G41" i="1" s="1"/>
  <c r="M41" i="1" s="1"/>
  <c r="O40" i="1"/>
  <c r="K40" i="1"/>
  <c r="J40" i="1"/>
  <c r="H40" i="1"/>
  <c r="Q40" i="1" s="1"/>
  <c r="F40" i="1"/>
  <c r="G40" i="1" s="1"/>
  <c r="O39" i="1"/>
  <c r="K39" i="1"/>
  <c r="J39" i="1"/>
  <c r="H39" i="1"/>
  <c r="L39" i="1" s="1"/>
  <c r="G39" i="1"/>
  <c r="P38" i="1"/>
  <c r="H38" i="1"/>
  <c r="L38" i="1" s="1"/>
  <c r="G38" i="1"/>
  <c r="F38" i="1"/>
  <c r="L37" i="1"/>
  <c r="N37" i="1" s="1"/>
  <c r="H37" i="1"/>
  <c r="Q37" i="1" s="1"/>
  <c r="G37" i="1"/>
  <c r="F37" i="1"/>
  <c r="O36" i="1"/>
  <c r="K36" i="1"/>
  <c r="J36" i="1"/>
  <c r="H36" i="1"/>
  <c r="F36" i="1"/>
  <c r="G36" i="1" s="1"/>
  <c r="M36" i="1" s="1"/>
  <c r="K35" i="1"/>
  <c r="H35" i="1"/>
  <c r="F35" i="1"/>
  <c r="G35" i="1" s="1"/>
  <c r="M35" i="1" s="1"/>
  <c r="S34" i="1"/>
  <c r="O34" i="1"/>
  <c r="K34" i="1"/>
  <c r="J34" i="1"/>
  <c r="R34" i="1" s="1"/>
  <c r="H34" i="1"/>
  <c r="L34" i="1" s="1"/>
  <c r="F34" i="1"/>
  <c r="G34" i="1" s="1"/>
  <c r="K33" i="1"/>
  <c r="P33" i="1" s="1"/>
  <c r="J33" i="1"/>
  <c r="H33" i="1"/>
  <c r="F33" i="1"/>
  <c r="G33" i="1" s="1"/>
  <c r="M33" i="1" s="1"/>
  <c r="R32" i="1"/>
  <c r="P32" i="1"/>
  <c r="M32" i="1"/>
  <c r="L32" i="1"/>
  <c r="H32" i="1"/>
  <c r="Q32" i="1" s="1"/>
  <c r="G32" i="1"/>
  <c r="S32" i="1" s="1"/>
  <c r="P31" i="1"/>
  <c r="K31" i="1"/>
  <c r="Q31" i="1" s="1"/>
  <c r="J31" i="1"/>
  <c r="H31" i="1"/>
  <c r="F31" i="1"/>
  <c r="G31" i="1" s="1"/>
  <c r="M31" i="1" s="1"/>
  <c r="O30" i="1"/>
  <c r="K30" i="1"/>
  <c r="H30" i="1"/>
  <c r="L30" i="1" s="1"/>
  <c r="F30" i="1"/>
  <c r="E30" i="1"/>
  <c r="O29" i="1"/>
  <c r="P29" i="1" s="1"/>
  <c r="L29" i="1"/>
  <c r="J29" i="1"/>
  <c r="H29" i="1"/>
  <c r="Q29" i="1" s="1"/>
  <c r="F29" i="1"/>
  <c r="E29" i="1"/>
  <c r="O28" i="1"/>
  <c r="L28" i="1"/>
  <c r="K28" i="1"/>
  <c r="P28" i="1" s="1"/>
  <c r="J28" i="1"/>
  <c r="H28" i="1"/>
  <c r="F28" i="1"/>
  <c r="E28" i="1"/>
  <c r="O27" i="1"/>
  <c r="K27" i="1"/>
  <c r="J27" i="1"/>
  <c r="H27" i="1"/>
  <c r="F27" i="1"/>
  <c r="E27" i="1"/>
  <c r="Q26" i="1"/>
  <c r="P26" i="1"/>
  <c r="L26" i="1"/>
  <c r="G26" i="1"/>
  <c r="S26" i="1" s="1"/>
  <c r="P25" i="1"/>
  <c r="H25" i="1"/>
  <c r="G25" i="1"/>
  <c r="S25" i="1" s="1"/>
  <c r="O24" i="1"/>
  <c r="K24" i="1"/>
  <c r="P24" i="1" s="1"/>
  <c r="J24" i="1"/>
  <c r="R24" i="1" s="1"/>
  <c r="H24" i="1"/>
  <c r="G24" i="1"/>
  <c r="M24" i="1" s="1"/>
  <c r="P23" i="1"/>
  <c r="H23" i="1"/>
  <c r="L23" i="1" s="1"/>
  <c r="F23" i="1"/>
  <c r="G23" i="1" s="1"/>
  <c r="M23" i="1" s="1"/>
  <c r="P22" i="1"/>
  <c r="O22" i="1"/>
  <c r="K22" i="1"/>
  <c r="J22" i="1"/>
  <c r="H22" i="1"/>
  <c r="Q22" i="1" s="1"/>
  <c r="F22" i="1"/>
  <c r="G22" i="1" s="1"/>
  <c r="M22" i="1" s="1"/>
  <c r="O21" i="1"/>
  <c r="K21" i="1"/>
  <c r="J21" i="1"/>
  <c r="H21" i="1"/>
  <c r="F21" i="1"/>
  <c r="G21" i="1" s="1"/>
  <c r="I20" i="1"/>
  <c r="D20" i="1"/>
  <c r="C20" i="1"/>
  <c r="Q19" i="1"/>
  <c r="P19" i="1"/>
  <c r="O19" i="1"/>
  <c r="J19" i="1"/>
  <c r="R19" i="1" s="1"/>
  <c r="H19" i="1"/>
  <c r="L19" i="1" s="1"/>
  <c r="G19" i="1"/>
  <c r="S19" i="1" s="1"/>
  <c r="R18" i="1"/>
  <c r="P18" i="1"/>
  <c r="H18" i="1"/>
  <c r="G18" i="1"/>
  <c r="S18" i="1" s="1"/>
  <c r="P17" i="1"/>
  <c r="O17" i="1"/>
  <c r="J17" i="1"/>
  <c r="R17" i="1" s="1"/>
  <c r="H17" i="1"/>
  <c r="L17" i="1" s="1"/>
  <c r="G17" i="1"/>
  <c r="S17" i="1" s="1"/>
  <c r="O16" i="1"/>
  <c r="L16" i="1"/>
  <c r="K16" i="1"/>
  <c r="Q16" i="1" s="1"/>
  <c r="J16" i="1"/>
  <c r="H16" i="1"/>
  <c r="F16" i="1"/>
  <c r="G16" i="1" s="1"/>
  <c r="M16" i="1" s="1"/>
  <c r="O15" i="1"/>
  <c r="K15" i="1"/>
  <c r="J15" i="1"/>
  <c r="H15" i="1"/>
  <c r="F15" i="1"/>
  <c r="G15" i="1" s="1"/>
  <c r="O14" i="1"/>
  <c r="L14" i="1"/>
  <c r="K14" i="1"/>
  <c r="P14" i="1" s="1"/>
  <c r="J14" i="1"/>
  <c r="H14" i="1"/>
  <c r="Q14" i="1" s="1"/>
  <c r="G14" i="1"/>
  <c r="M14" i="1" s="1"/>
  <c r="F14" i="1"/>
  <c r="O13" i="1"/>
  <c r="K13" i="1"/>
  <c r="J13" i="1"/>
  <c r="R13" i="1" s="1"/>
  <c r="H13" i="1"/>
  <c r="F13" i="1"/>
  <c r="G13" i="1" s="1"/>
  <c r="O12" i="1"/>
  <c r="K12" i="1"/>
  <c r="K9" i="1" s="1"/>
  <c r="J12" i="1"/>
  <c r="H12" i="1"/>
  <c r="F12" i="1"/>
  <c r="G12" i="1" s="1"/>
  <c r="O11" i="1"/>
  <c r="O9" i="1" s="1"/>
  <c r="K11" i="1"/>
  <c r="J11" i="1"/>
  <c r="H11" i="1"/>
  <c r="G11" i="1"/>
  <c r="M11" i="1" s="1"/>
  <c r="O10" i="1"/>
  <c r="K10" i="1"/>
  <c r="J10" i="1"/>
  <c r="H10" i="1"/>
  <c r="F10" i="1"/>
  <c r="I9" i="1"/>
  <c r="E9" i="1"/>
  <c r="D9" i="1"/>
  <c r="C9" i="1"/>
  <c r="C8" i="1" s="1"/>
  <c r="C7" i="1" s="1"/>
  <c r="I8" i="1"/>
  <c r="I7" i="1" s="1"/>
  <c r="D8" i="1"/>
  <c r="D7" i="1" s="1"/>
  <c r="N71" i="1" l="1"/>
  <c r="N95" i="1"/>
  <c r="N93" i="1"/>
  <c r="Q17" i="1"/>
  <c r="R22" i="1"/>
  <c r="Q10" i="1"/>
  <c r="R11" i="1"/>
  <c r="L12" i="1"/>
  <c r="N12" i="1" s="1"/>
  <c r="M13" i="1"/>
  <c r="R14" i="1"/>
  <c r="S15" i="1"/>
  <c r="M25" i="1"/>
  <c r="E20" i="1"/>
  <c r="E8" i="1" s="1"/>
  <c r="E7" i="1" s="1"/>
  <c r="Q27" i="1"/>
  <c r="Q28" i="1"/>
  <c r="S41" i="1"/>
  <c r="P41" i="1"/>
  <c r="L45" i="1"/>
  <c r="S50" i="1"/>
  <c r="Q50" i="1"/>
  <c r="R51" i="1"/>
  <c r="R52" i="1"/>
  <c r="L55" i="1"/>
  <c r="N57" i="1"/>
  <c r="Q59" i="1"/>
  <c r="L60" i="1"/>
  <c r="Q63" i="1"/>
  <c r="P63" i="1"/>
  <c r="P67" i="1"/>
  <c r="L69" i="1"/>
  <c r="N69" i="1" s="1"/>
  <c r="R70" i="1"/>
  <c r="S71" i="1"/>
  <c r="P71" i="1"/>
  <c r="L73" i="1"/>
  <c r="N73" i="1" s="1"/>
  <c r="Q76" i="1"/>
  <c r="L83" i="1"/>
  <c r="N83" i="1" s="1"/>
  <c r="L84" i="1"/>
  <c r="N84" i="1" s="1"/>
  <c r="M85" i="1"/>
  <c r="F86" i="1"/>
  <c r="G86" i="1" s="1"/>
  <c r="R86" i="1" s="1"/>
  <c r="S87" i="1"/>
  <c r="R88" i="1"/>
  <c r="L92" i="1"/>
  <c r="L101" i="1"/>
  <c r="Q104" i="1"/>
  <c r="Q108" i="1"/>
  <c r="P108" i="1"/>
  <c r="F9" i="1"/>
  <c r="Q11" i="1"/>
  <c r="S14" i="1"/>
  <c r="M15" i="1"/>
  <c r="L22" i="1"/>
  <c r="M26" i="1"/>
  <c r="O20" i="1"/>
  <c r="G30" i="1"/>
  <c r="M30" i="1" s="1"/>
  <c r="N30" i="1" s="1"/>
  <c r="R31" i="1"/>
  <c r="L33" i="1"/>
  <c r="M34" i="1"/>
  <c r="L35" i="1"/>
  <c r="Q39" i="1"/>
  <c r="P39" i="1"/>
  <c r="P40" i="1"/>
  <c r="M42" i="1"/>
  <c r="L43" i="1"/>
  <c r="N43" i="1" s="1"/>
  <c r="Q44" i="1"/>
  <c r="R44" i="1"/>
  <c r="L50" i="1"/>
  <c r="N50" i="1" s="1"/>
  <c r="P51" i="1"/>
  <c r="S52" i="1"/>
  <c r="Q52" i="1"/>
  <c r="Q54" i="1"/>
  <c r="Q55" i="1"/>
  <c r="R57" i="1"/>
  <c r="P57" i="1"/>
  <c r="R59" i="1"/>
  <c r="L61" i="1"/>
  <c r="N61" i="1" s="1"/>
  <c r="M65" i="1"/>
  <c r="Q66" i="1"/>
  <c r="M68" i="1"/>
  <c r="P69" i="1"/>
  <c r="M72" i="1"/>
  <c r="L74" i="1"/>
  <c r="L75" i="1"/>
  <c r="R83" i="1"/>
  <c r="P21" i="1"/>
  <c r="R25" i="1"/>
  <c r="G28" i="1"/>
  <c r="M28" i="1" s="1"/>
  <c r="N28" i="1" s="1"/>
  <c r="G29" i="1"/>
  <c r="M29" i="1" s="1"/>
  <c r="N29" i="1" s="1"/>
  <c r="N32" i="1"/>
  <c r="R33" i="1"/>
  <c r="P36" i="1"/>
  <c r="M38" i="1"/>
  <c r="N38" i="1" s="1"/>
  <c r="M39" i="1"/>
  <c r="N39" i="1" s="1"/>
  <c r="M40" i="1"/>
  <c r="N44" i="1"/>
  <c r="M47" i="1"/>
  <c r="N47" i="1" s="1"/>
  <c r="L47" i="1"/>
  <c r="M51" i="1"/>
  <c r="N52" i="1"/>
  <c r="S59" i="1"/>
  <c r="P59" i="1"/>
  <c r="Q65" i="1"/>
  <c r="Q68" i="1"/>
  <c r="R69" i="1"/>
  <c r="M70" i="1"/>
  <c r="R73" i="1"/>
  <c r="N75" i="1"/>
  <c r="M78" i="1"/>
  <c r="M80" i="1"/>
  <c r="P82" i="1"/>
  <c r="P84" i="1"/>
  <c r="Q88" i="1"/>
  <c r="Q93" i="1"/>
  <c r="M95" i="1"/>
  <c r="S98" i="1"/>
  <c r="N99" i="1"/>
  <c r="R99" i="1"/>
  <c r="Q101" i="1"/>
  <c r="S104" i="1"/>
  <c r="P104" i="1"/>
  <c r="H103" i="1"/>
  <c r="H100" i="1" s="1"/>
  <c r="R110" i="1"/>
  <c r="J9" i="1"/>
  <c r="N16" i="1"/>
  <c r="R41" i="1"/>
  <c r="S66" i="1"/>
  <c r="P66" i="1"/>
  <c r="Q70" i="1"/>
  <c r="P73" i="1"/>
  <c r="R76" i="1"/>
  <c r="S93" i="1"/>
  <c r="S110" i="1"/>
  <c r="P110" i="1"/>
  <c r="S12" i="1"/>
  <c r="R12" i="1"/>
  <c r="M12" i="1"/>
  <c r="N55" i="1"/>
  <c r="N22" i="1"/>
  <c r="N14" i="1"/>
  <c r="N23" i="1"/>
  <c r="P15" i="1"/>
  <c r="R16" i="1"/>
  <c r="Q18" i="1"/>
  <c r="L18" i="1"/>
  <c r="Q21" i="1"/>
  <c r="Q24" i="1"/>
  <c r="Q25" i="1"/>
  <c r="R30" i="1"/>
  <c r="R35" i="1"/>
  <c r="S36" i="1"/>
  <c r="P46" i="1"/>
  <c r="Q46" i="1"/>
  <c r="M64" i="1"/>
  <c r="R64" i="1"/>
  <c r="N76" i="1"/>
  <c r="P85" i="1"/>
  <c r="Q85" i="1"/>
  <c r="S85" i="1"/>
  <c r="H9" i="1"/>
  <c r="S11" i="1"/>
  <c r="P13" i="1"/>
  <c r="Q13" i="1"/>
  <c r="L15" i="1"/>
  <c r="N15" i="1" s="1"/>
  <c r="Q15" i="1"/>
  <c r="S16" i="1"/>
  <c r="N17" i="1"/>
  <c r="M18" i="1"/>
  <c r="F20" i="1"/>
  <c r="F8" i="1" s="1"/>
  <c r="J20" i="1"/>
  <c r="M21" i="1"/>
  <c r="R21" i="1"/>
  <c r="L25" i="1"/>
  <c r="P27" i="1"/>
  <c r="S28" i="1"/>
  <c r="S30" i="1"/>
  <c r="N34" i="1"/>
  <c r="Q34" i="1"/>
  <c r="N35" i="1"/>
  <c r="R43" i="1"/>
  <c r="O53" i="1"/>
  <c r="O8" i="1" s="1"/>
  <c r="O7" i="1" s="1"/>
  <c r="M55" i="1"/>
  <c r="S55" i="1"/>
  <c r="G53" i="1"/>
  <c r="R56" i="1"/>
  <c r="M56" i="1"/>
  <c r="N56" i="1" s="1"/>
  <c r="S56" i="1"/>
  <c r="S67" i="1"/>
  <c r="R67" i="1"/>
  <c r="P81" i="1"/>
  <c r="Q81" i="1"/>
  <c r="N82" i="1"/>
  <c r="S96" i="1"/>
  <c r="K94" i="1"/>
  <c r="Q96" i="1"/>
  <c r="P96" i="1"/>
  <c r="P94" i="1" s="1"/>
  <c r="Q9" i="1"/>
  <c r="G10" i="1"/>
  <c r="S10" i="1" s="1"/>
  <c r="L10" i="1"/>
  <c r="P10" i="1"/>
  <c r="L11" i="1"/>
  <c r="N11" i="1" s="1"/>
  <c r="P11" i="1"/>
  <c r="Q12" i="1"/>
  <c r="M17" i="1"/>
  <c r="M19" i="1"/>
  <c r="N19" i="1" s="1"/>
  <c r="K20" i="1"/>
  <c r="L21" i="1"/>
  <c r="S21" i="1"/>
  <c r="L24" i="1"/>
  <c r="N24" i="1" s="1"/>
  <c r="S24" i="1"/>
  <c r="G27" i="1"/>
  <c r="M27" i="1" s="1"/>
  <c r="L27" i="1"/>
  <c r="S31" i="1"/>
  <c r="N33" i="1"/>
  <c r="S35" i="1"/>
  <c r="Q35" i="1"/>
  <c r="R40" i="1"/>
  <c r="N42" i="1"/>
  <c r="S45" i="1"/>
  <c r="M45" i="1"/>
  <c r="N45" i="1" s="1"/>
  <c r="L46" i="1"/>
  <c r="N46" i="1" s="1"/>
  <c r="L51" i="1"/>
  <c r="N51" i="1" s="1"/>
  <c r="Q51" i="1"/>
  <c r="R54" i="1"/>
  <c r="J53" i="1"/>
  <c r="R53" i="1" s="1"/>
  <c r="N60" i="1"/>
  <c r="Q61" i="1"/>
  <c r="N78" i="1"/>
  <c r="N80" i="1"/>
  <c r="M81" i="1"/>
  <c r="P12" i="1"/>
  <c r="L13" i="1"/>
  <c r="N13" i="1" s="1"/>
  <c r="S13" i="1"/>
  <c r="R15" i="1"/>
  <c r="P16" i="1"/>
  <c r="H20" i="1"/>
  <c r="S22" i="1"/>
  <c r="N26" i="1"/>
  <c r="R26" i="1"/>
  <c r="Q30" i="1"/>
  <c r="P30" i="1"/>
  <c r="L31" i="1"/>
  <c r="N31" i="1" s="1"/>
  <c r="P34" i="1"/>
  <c r="P35" i="1"/>
  <c r="R36" i="1"/>
  <c r="Q36" i="1"/>
  <c r="R39" i="1"/>
  <c r="S40" i="1"/>
  <c r="R42" i="1"/>
  <c r="Q42" i="1"/>
  <c r="S46" i="1"/>
  <c r="R47" i="1"/>
  <c r="S47" i="1"/>
  <c r="S51" i="1"/>
  <c r="K53" i="1"/>
  <c r="F53" i="1"/>
  <c r="P54" i="1"/>
  <c r="R55" i="1"/>
  <c r="L58" i="1"/>
  <c r="N58" i="1" s="1"/>
  <c r="H53" i="1"/>
  <c r="S58" i="1"/>
  <c r="R60" i="1"/>
  <c r="Q60" i="1"/>
  <c r="M62" i="1"/>
  <c r="R63" i="1"/>
  <c r="Q64" i="1"/>
  <c r="S64" i="1"/>
  <c r="P64" i="1"/>
  <c r="R65" i="1"/>
  <c r="P77" i="1"/>
  <c r="Q77" i="1"/>
  <c r="S77" i="1"/>
  <c r="L79" i="1"/>
  <c r="M79" i="1"/>
  <c r="L81" i="1"/>
  <c r="S81" i="1"/>
  <c r="R82" i="1"/>
  <c r="H86" i="1"/>
  <c r="L87" i="1"/>
  <c r="L85" i="1"/>
  <c r="N85" i="1" s="1"/>
  <c r="M91" i="1"/>
  <c r="P101" i="1"/>
  <c r="R102" i="1"/>
  <c r="J101" i="1"/>
  <c r="S33" i="1"/>
  <c r="Q33" i="1"/>
  <c r="L36" i="1"/>
  <c r="N36" i="1" s="1"/>
  <c r="L40" i="1"/>
  <c r="N40" i="1" s="1"/>
  <c r="P42" i="1"/>
  <c r="S42" i="1"/>
  <c r="R46" i="1"/>
  <c r="R48" i="1"/>
  <c r="M48" i="1"/>
  <c r="N48" i="1" s="1"/>
  <c r="R49" i="1"/>
  <c r="M49" i="1"/>
  <c r="N49" i="1" s="1"/>
  <c r="N54" i="1"/>
  <c r="P60" i="1"/>
  <c r="S60" i="1"/>
  <c r="P61" i="1"/>
  <c r="S61" i="1"/>
  <c r="P62" i="1"/>
  <c r="L62" i="1"/>
  <c r="S62" i="1"/>
  <c r="L64" i="1"/>
  <c r="R68" i="1"/>
  <c r="L77" i="1"/>
  <c r="N77" i="1" s="1"/>
  <c r="P83" i="1"/>
  <c r="Q83" i="1"/>
  <c r="R94" i="1"/>
  <c r="L96" i="1"/>
  <c r="H94" i="1"/>
  <c r="G106" i="1"/>
  <c r="R106" i="1" s="1"/>
  <c r="F103" i="1"/>
  <c r="R109" i="1"/>
  <c r="S39" i="1"/>
  <c r="Q41" i="1"/>
  <c r="S44" i="1"/>
  <c r="S57" i="1"/>
  <c r="S63" i="1"/>
  <c r="N65" i="1"/>
  <c r="R66" i="1"/>
  <c r="N68" i="1"/>
  <c r="N70" i="1"/>
  <c r="R71" i="1"/>
  <c r="S72" i="1"/>
  <c r="N74" i="1"/>
  <c r="S78" i="1"/>
  <c r="S91" i="1"/>
  <c r="K86" i="1"/>
  <c r="Q91" i="1"/>
  <c r="R92" i="1"/>
  <c r="M92" i="1"/>
  <c r="N92" i="1" s="1"/>
  <c r="M96" i="1"/>
  <c r="M94" i="1" s="1"/>
  <c r="N97" i="1"/>
  <c r="N101" i="1"/>
  <c r="R104" i="1"/>
  <c r="R107" i="1"/>
  <c r="M107" i="1"/>
  <c r="N107" i="1" s="1"/>
  <c r="R108" i="1"/>
  <c r="P109" i="1"/>
  <c r="P103" i="1" s="1"/>
  <c r="K103" i="1"/>
  <c r="S109" i="1"/>
  <c r="P65" i="1"/>
  <c r="S65" i="1"/>
  <c r="P68" i="1"/>
  <c r="S68" i="1"/>
  <c r="P70" i="1"/>
  <c r="S70" i="1"/>
  <c r="L72" i="1"/>
  <c r="N72" i="1" s="1"/>
  <c r="P74" i="1"/>
  <c r="S74" i="1"/>
  <c r="R77" i="1"/>
  <c r="S80" i="1"/>
  <c r="R81" i="1"/>
  <c r="R87" i="1"/>
  <c r="M87" i="1"/>
  <c r="R89" i="1"/>
  <c r="M89" i="1"/>
  <c r="N89" i="1" s="1"/>
  <c r="L91" i="1"/>
  <c r="P91" i="1"/>
  <c r="P86" i="1" s="1"/>
  <c r="S92" i="1"/>
  <c r="R93" i="1"/>
  <c r="G94" i="1"/>
  <c r="L106" i="1"/>
  <c r="S107" i="1"/>
  <c r="L109" i="1"/>
  <c r="N109" i="1" s="1"/>
  <c r="S69" i="1"/>
  <c r="Q71" i="1"/>
  <c r="S73" i="1"/>
  <c r="S76" i="1"/>
  <c r="Q78" i="1"/>
  <c r="Q80" i="1"/>
  <c r="S82" i="1"/>
  <c r="S84" i="1"/>
  <c r="S108" i="1"/>
  <c r="Q110" i="1"/>
  <c r="N62" i="1" l="1"/>
  <c r="N27" i="1"/>
  <c r="R29" i="1"/>
  <c r="S29" i="1"/>
  <c r="J8" i="1"/>
  <c r="M20" i="1"/>
  <c r="M86" i="1"/>
  <c r="N91" i="1"/>
  <c r="N81" i="1"/>
  <c r="S27" i="1"/>
  <c r="N25" i="1"/>
  <c r="R27" i="1"/>
  <c r="R28" i="1"/>
  <c r="S86" i="1"/>
  <c r="Q86" i="1"/>
  <c r="F100" i="1"/>
  <c r="G100" i="1" s="1"/>
  <c r="G103" i="1"/>
  <c r="R103" i="1" s="1"/>
  <c r="N87" i="1"/>
  <c r="N86" i="1" s="1"/>
  <c r="L86" i="1"/>
  <c r="S53" i="1"/>
  <c r="Q53" i="1"/>
  <c r="N64" i="1"/>
  <c r="N53" i="1" s="1"/>
  <c r="P100" i="1"/>
  <c r="N18" i="1"/>
  <c r="N79" i="1"/>
  <c r="P53" i="1"/>
  <c r="P9" i="1"/>
  <c r="G20" i="1"/>
  <c r="S20" i="1" s="1"/>
  <c r="Q20" i="1"/>
  <c r="P20" i="1"/>
  <c r="M10" i="1"/>
  <c r="M9" i="1" s="1"/>
  <c r="G9" i="1"/>
  <c r="K8" i="1"/>
  <c r="M106" i="1"/>
  <c r="M100" i="1" s="1"/>
  <c r="S106" i="1"/>
  <c r="L53" i="1"/>
  <c r="S94" i="1"/>
  <c r="Q94" i="1"/>
  <c r="R20" i="1"/>
  <c r="H8" i="1"/>
  <c r="H7" i="1" s="1"/>
  <c r="R10" i="1"/>
  <c r="L103" i="1"/>
  <c r="L100" i="1" s="1"/>
  <c r="S103" i="1"/>
  <c r="K100" i="1"/>
  <c r="Q103" i="1"/>
  <c r="N96" i="1"/>
  <c r="N94" i="1" s="1"/>
  <c r="L94" i="1"/>
  <c r="R101" i="1"/>
  <c r="J100" i="1"/>
  <c r="J7" i="1" s="1"/>
  <c r="L20" i="1"/>
  <c r="N21" i="1"/>
  <c r="N20" i="1" s="1"/>
  <c r="L9" i="1"/>
  <c r="M53" i="1"/>
  <c r="N106" i="1" l="1"/>
  <c r="N103" i="1" s="1"/>
  <c r="N100" i="1" s="1"/>
  <c r="G8" i="1"/>
  <c r="S8" i="1" s="1"/>
  <c r="R9" i="1"/>
  <c r="S9" i="1"/>
  <c r="N10" i="1"/>
  <c r="N9" i="1" s="1"/>
  <c r="N8" i="1" s="1"/>
  <c r="N7" i="1" s="1"/>
  <c r="R100" i="1"/>
  <c r="P8" i="1"/>
  <c r="P7" i="1" s="1"/>
  <c r="F7" i="1"/>
  <c r="M8" i="1"/>
  <c r="M7" i="1" s="1"/>
  <c r="L8" i="1"/>
  <c r="L7" i="1" s="1"/>
  <c r="S100" i="1"/>
  <c r="Q100" i="1"/>
  <c r="K7" i="1"/>
  <c r="Q8" i="1"/>
  <c r="G7" i="1" l="1"/>
  <c r="R7" i="1" s="1"/>
  <c r="R8" i="1"/>
  <c r="Q7" i="1"/>
  <c r="S7" i="1" l="1"/>
</calcChain>
</file>

<file path=xl/sharedStrings.xml><?xml version="1.0" encoding="utf-8"?>
<sst xmlns="http://schemas.openxmlformats.org/spreadsheetml/2006/main" count="181" uniqueCount="165">
  <si>
    <t xml:space="preserve">  </t>
  </si>
  <si>
    <t>DIRECCIÓN DE ADMINISTRACIÓN Y FINANZAS - DEPARTAMENTO DE PRESUPUESTO</t>
  </si>
  <si>
    <t>INFORME DE EJECUCIÓN PRESUPUESTARIA (FUNCIONAMIENTO)</t>
  </si>
  <si>
    <t>AL 31 DE OCTUBRE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</si>
  <si>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</si>
  <si>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</si>
  <si>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</si>
  <si>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</si>
  <si>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</si>
  <si>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</si>
  <si>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</si>
  <si>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</si>
  <si>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</si>
  <si>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</si>
  <si>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</si>
  <si>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</si>
  <si>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</si>
  <si>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</si>
  <si>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</si>
  <si>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</si>
  <si>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</si>
  <si>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</si>
  <si>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</si>
  <si>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</si>
  <si>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>FUNCIONAMIENTO E INVERSIONES</t>
  </si>
  <si>
    <t xml:space="preserve">FUNCIONAMIENTO 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</si>
  <si>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</si>
  <si>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</si>
  <si>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</si>
  <si>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</si>
  <si>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</si>
  <si>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</si>
  <si>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</si>
  <si>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</si>
  <si>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</si>
  <si>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</si>
  <si>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</si>
  <si>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</si>
  <si>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</si>
  <si>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</si>
  <si>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</si>
  <si>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</si>
  <si>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</si>
  <si>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</si>
  <si>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</si>
  <si>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</si>
  <si>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</si>
  <si>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</si>
  <si>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</si>
  <si>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</si>
  <si>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</si>
  <si>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</si>
  <si>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</si>
  <si>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</si>
  <si>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</si>
  <si>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</si>
  <si>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</si>
  <si>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</si>
  <si>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</si>
  <si>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</si>
  <si>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</si>
  <si>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</si>
  <si>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</si>
  <si>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</si>
  <si>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</si>
  <si>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</si>
  <si>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</si>
  <si>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</si>
  <si>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</si>
  <si>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</si>
  <si>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</si>
  <si>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</si>
  <si>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</si>
  <si>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 PARA EL EXTERIOR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</si>
  <si>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</si>
  <si>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</si>
  <si>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</si>
  <si>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</si>
  <si>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</si>
  <si>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</si>
  <si>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</si>
  <si>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</si>
  <si>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</si>
  <si>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</si>
  <si>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</si>
  <si>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</si>
  <si>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</si>
  <si>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</si>
  <si>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</si>
  <si>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</si>
  <si>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</si>
  <si>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</si>
  <si>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</si>
  <si>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</si>
  <si>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</si>
  <si>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</si>
  <si>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</si>
  <si>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</si>
  <si>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</si>
  <si>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</si>
  <si>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</si>
  <si>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</si>
  <si>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</si>
  <si>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</si>
  <si>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</si>
  <si>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</si>
  <si>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</si>
  <si>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</si>
  <si>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</si>
  <si>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</si>
  <si>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</si>
  <si>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</si>
  <si>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</si>
  <si>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</si>
  <si>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PRODUCTOS MEDICINALES Y FARMACÉUTICOS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</si>
  <si>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</si>
  <si>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</si>
  <si>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</si>
  <si>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</si>
  <si>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</si>
  <si>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</si>
  <si>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</si>
  <si>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</si>
  <si>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</si>
  <si>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</si>
  <si>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</si>
  <si>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</si>
  <si>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</si>
  <si>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</si>
  <si>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</si>
  <si>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</si>
  <si>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</si>
  <si>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</si>
  <si>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</si>
  <si>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</si>
  <si>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</si>
  <si>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</si>
  <si>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</si>
  <si>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</si>
  <si>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</si>
  <si>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</si>
  <si>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</si>
  <si>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</si>
  <si>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</si>
  <si>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</si>
  <si>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</si>
  <si>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</si>
  <si>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</si>
  <si>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</si>
  <si>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</si>
  <si>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</si>
  <si>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</si>
  <si>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</si>
  <si>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</si>
  <si>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</si>
  <si>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</si>
  <si>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</si>
  <si>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</si>
  <si>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</si>
  <si>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</si>
  <si>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</si>
  <si>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</si>
  <si>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OTRAS TRANSFERENCIAS AL EXTERIOR</t>
  </si>
  <si>
    <t>A PERSONAS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</si>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</sst>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&quot; &quot;"/>
    <numFmt numFmtId="165" formatCode="#,##0_ ;\-#,##0\ 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/>
    <xf numFmtId="3" fontId="2" fillId="0" borderId="6" xfId="0" applyNumberFormat="1" applyFont="1" applyFill="1" applyBorder="1" applyAlignment="1">
      <alignment wrapText="1"/>
    </xf>
    <xf numFmtId="9" fontId="2" fillId="0" borderId="6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/>
    <xf numFmtId="0" fontId="2" fillId="0" borderId="7" xfId="0" applyFont="1" applyFill="1" applyBorder="1" applyAlignment="1"/>
    <xf numFmtId="0" fontId="2" fillId="0" borderId="8" xfId="0" applyFont="1" applyFill="1" applyBorder="1" applyAlignment="1">
      <alignment horizontal="left" wrapText="1"/>
    </xf>
    <xf numFmtId="3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0" borderId="5" xfId="0" applyNumberFormat="1" applyFont="1" applyFill="1" applyBorder="1" applyAlignment="1"/>
    <xf numFmtId="9" fontId="2" fillId="0" borderId="8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protection locked="0"/>
    </xf>
    <xf numFmtId="3" fontId="3" fillId="0" borderId="10" xfId="0" applyNumberFormat="1" applyFont="1" applyFill="1" applyBorder="1"/>
    <xf numFmtId="3" fontId="6" fillId="0" borderId="10" xfId="0" applyNumberFormat="1" applyFont="1" applyFill="1" applyBorder="1" applyAlignment="1" applyProtection="1">
      <protection locked="0"/>
    </xf>
    <xf numFmtId="164" fontId="3" fillId="0" borderId="10" xfId="0" applyNumberFormat="1" applyFont="1" applyFill="1" applyBorder="1"/>
    <xf numFmtId="4" fontId="3" fillId="0" borderId="10" xfId="0" applyNumberFormat="1" applyFont="1" applyFill="1" applyBorder="1"/>
    <xf numFmtId="164" fontId="3" fillId="0" borderId="9" xfId="0" applyNumberFormat="1" applyFont="1" applyFill="1" applyBorder="1"/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>
      <alignment wrapText="1"/>
    </xf>
    <xf numFmtId="3" fontId="7" fillId="0" borderId="9" xfId="0" applyNumberFormat="1" applyFont="1" applyFill="1" applyBorder="1" applyAlignment="1">
      <alignment wrapText="1"/>
    </xf>
    <xf numFmtId="9" fontId="7" fillId="0" borderId="10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 applyProtection="1">
      <protection locked="0"/>
    </xf>
    <xf numFmtId="0" fontId="6" fillId="0" borderId="9" xfId="0" quotePrefix="1" applyFont="1" applyFill="1" applyBorder="1" applyAlignment="1" applyProtection="1">
      <alignment horizontal="left"/>
      <protection locked="0"/>
    </xf>
    <xf numFmtId="0" fontId="6" fillId="0" borderId="7" xfId="0" quotePrefix="1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 wrapText="1"/>
      <protection locked="0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wrapText="1"/>
    </xf>
    <xf numFmtId="9" fontId="7" fillId="0" borderId="6" xfId="0" applyNumberFormat="1" applyFont="1" applyFill="1" applyBorder="1" applyAlignment="1">
      <alignment horizontal="right" vertical="center" wrapText="1"/>
    </xf>
    <xf numFmtId="9" fontId="2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left"/>
      <protection locked="0"/>
    </xf>
    <xf numFmtId="165" fontId="8" fillId="0" borderId="11" xfId="0" applyNumberFormat="1" applyFont="1" applyFill="1" applyBorder="1"/>
    <xf numFmtId="3" fontId="7" fillId="0" borderId="10" xfId="0" applyNumberFormat="1" applyFont="1" applyFill="1" applyBorder="1" applyAlignment="1" applyProtection="1">
      <protection locked="0"/>
    </xf>
    <xf numFmtId="0" fontId="7" fillId="0" borderId="0" xfId="0" applyFont="1" applyFill="1"/>
    <xf numFmtId="3" fontId="3" fillId="0" borderId="12" xfId="0" applyNumberFormat="1" applyFont="1" applyFill="1" applyBorder="1"/>
    <xf numFmtId="3" fontId="6" fillId="0" borderId="12" xfId="0" applyNumberFormat="1" applyFont="1" applyFill="1" applyBorder="1" applyAlignment="1" applyProtection="1">
      <protection locked="0"/>
    </xf>
    <xf numFmtId="164" fontId="3" fillId="0" borderId="12" xfId="0" applyNumberFormat="1" applyFont="1" applyFill="1" applyBorder="1"/>
    <xf numFmtId="4" fontId="3" fillId="0" borderId="12" xfId="0" applyNumberFormat="1" applyFont="1" applyFill="1" applyBorder="1"/>
    <xf numFmtId="3" fontId="7" fillId="0" borderId="12" xfId="0" applyNumberFormat="1" applyFont="1" applyFill="1" applyBorder="1" applyAlignment="1" applyProtection="1">
      <protection locked="0"/>
    </xf>
    <xf numFmtId="3" fontId="7" fillId="0" borderId="12" xfId="0" applyNumberFormat="1" applyFont="1" applyFill="1" applyBorder="1" applyAlignment="1">
      <alignment wrapText="1"/>
    </xf>
    <xf numFmtId="3" fontId="3" fillId="0" borderId="12" xfId="0" applyNumberFormat="1" applyFont="1" applyFill="1" applyBorder="1" applyAlignment="1" applyProtection="1">
      <protection locked="0"/>
    </xf>
    <xf numFmtId="9" fontId="7" fillId="0" borderId="12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vertical="center" wrapText="1"/>
    </xf>
    <xf numFmtId="164" fontId="3" fillId="0" borderId="6" xfId="0" applyNumberFormat="1" applyFont="1" applyFill="1" applyBorder="1"/>
    <xf numFmtId="3" fontId="2" fillId="0" borderId="6" xfId="0" applyNumberFormat="1" applyFont="1" applyFill="1" applyBorder="1" applyAlignment="1">
      <alignment vertical="center" wrapText="1"/>
    </xf>
    <xf numFmtId="9" fontId="2" fillId="0" borderId="13" xfId="0" applyNumberFormat="1" applyFont="1" applyFill="1" applyBorder="1" applyAlignment="1">
      <alignment horizontal="right" vertical="center" wrapText="1"/>
    </xf>
    <xf numFmtId="9" fontId="2" fillId="0" borderId="12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Protection="1">
      <protection locked="0"/>
    </xf>
    <xf numFmtId="4" fontId="6" fillId="0" borderId="1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4" fontId="4" fillId="0" borderId="5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protection locked="0"/>
    </xf>
    <xf numFmtId="4" fontId="4" fillId="0" borderId="1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0" fontId="5" fillId="0" borderId="6" xfId="0" applyFont="1" applyFill="1" applyBorder="1"/>
    <xf numFmtId="166" fontId="5" fillId="0" borderId="5" xfId="1" applyFont="1" applyFill="1" applyBorder="1"/>
    <xf numFmtId="3" fontId="5" fillId="0" borderId="5" xfId="1" applyNumberFormat="1" applyFont="1" applyFill="1" applyBorder="1"/>
    <xf numFmtId="4" fontId="5" fillId="0" borderId="6" xfId="0" applyNumberFormat="1" applyFont="1" applyFill="1" applyBorder="1"/>
    <xf numFmtId="164" fontId="5" fillId="0" borderId="2" xfId="0" applyNumberFormat="1" applyFont="1" applyFill="1" applyBorder="1"/>
    <xf numFmtId="3" fontId="5" fillId="0" borderId="6" xfId="0" applyNumberFormat="1" applyFont="1" applyFill="1" applyBorder="1"/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3" fontId="2" fillId="0" borderId="5" xfId="0" applyNumberFormat="1" applyFont="1" applyFill="1" applyBorder="1" applyAlignment="1">
      <alignment wrapText="1"/>
    </xf>
    <xf numFmtId="9" fontId="2" fillId="0" borderId="3" xfId="0" applyNumberFormat="1" applyFont="1" applyFill="1" applyBorder="1" applyAlignment="1">
      <alignment horizontal="right" vertical="center" wrapText="1"/>
    </xf>
    <xf numFmtId="4" fontId="4" fillId="0" borderId="13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 applyProtection="1">
      <protection locked="0"/>
    </xf>
    <xf numFmtId="4" fontId="4" fillId="0" borderId="14" xfId="0" applyNumberFormat="1" applyFont="1" applyFill="1" applyBorder="1" applyAlignment="1" applyProtection="1"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 applyProtection="1">
      <protection locked="0"/>
    </xf>
    <xf numFmtId="9" fontId="2" fillId="0" borderId="10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 applyProtection="1">
      <protection locked="0"/>
    </xf>
    <xf numFmtId="164" fontId="5" fillId="0" borderId="12" xfId="0" applyNumberFormat="1" applyFont="1" applyFill="1" applyBorder="1"/>
    <xf numFmtId="3" fontId="4" fillId="0" borderId="13" xfId="0" applyNumberFormat="1" applyFont="1" applyFill="1" applyBorder="1" applyAlignment="1" applyProtection="1">
      <protection locked="0"/>
    </xf>
    <xf numFmtId="3" fontId="4" fillId="0" borderId="12" xfId="0" applyNumberFormat="1" applyFont="1" applyFill="1" applyBorder="1" applyAlignment="1" applyProtection="1">
      <protection locked="0"/>
    </xf>
    <xf numFmtId="3" fontId="4" fillId="0" borderId="6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9" fontId="2" fillId="0" borderId="16" xfId="0" applyNumberFormat="1" applyFont="1" applyFill="1" applyBorder="1" applyAlignment="1">
      <alignment horizontal="right" vertical="center" wrapText="1"/>
    </xf>
    <xf numFmtId="9" fontId="7" fillId="0" borderId="16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Protection="1">
      <protection locked="0"/>
    </xf>
    <xf numFmtId="3" fontId="6" fillId="0" borderId="2" xfId="0" applyNumberFormat="1" applyFont="1" applyFill="1" applyBorder="1" applyAlignment="1" applyProtection="1">
      <protection locked="0"/>
    </xf>
    <xf numFmtId="4" fontId="6" fillId="0" borderId="14" xfId="0" applyNumberFormat="1" applyFont="1" applyFill="1" applyBorder="1" applyAlignment="1" applyProtection="1">
      <protection locked="0"/>
    </xf>
    <xf numFmtId="164" fontId="3" fillId="0" borderId="16" xfId="0" applyNumberFormat="1" applyFont="1" applyFill="1" applyBorder="1"/>
    <xf numFmtId="3" fontId="6" fillId="0" borderId="3" xfId="0" applyNumberFormat="1" applyFont="1" applyFill="1" applyBorder="1" applyAlignment="1" applyProtection="1">
      <protection locked="0"/>
    </xf>
    <xf numFmtId="3" fontId="7" fillId="0" borderId="2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 applyProtection="1">
      <protection locked="0"/>
    </xf>
    <xf numFmtId="3" fontId="7" fillId="0" borderId="14" xfId="0" applyNumberFormat="1" applyFont="1" applyFill="1" applyBorder="1" applyAlignment="1">
      <alignment wrapText="1"/>
    </xf>
    <xf numFmtId="164" fontId="3" fillId="0" borderId="15" xfId="0" applyNumberFormat="1" applyFont="1" applyFill="1" applyBorder="1"/>
    <xf numFmtId="9" fontId="7" fillId="0" borderId="17" xfId="0" applyNumberFormat="1" applyFont="1" applyFill="1" applyBorder="1" applyAlignment="1">
      <alignment horizontal="right" vertical="center" wrapText="1"/>
    </xf>
    <xf numFmtId="9" fontId="7" fillId="0" borderId="2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 applyProtection="1">
      <protection locked="0"/>
    </xf>
    <xf numFmtId="4" fontId="6" fillId="0" borderId="18" xfId="0" applyNumberFormat="1" applyFont="1" applyFill="1" applyBorder="1" applyAlignment="1" applyProtection="1">
      <protection locked="0"/>
    </xf>
    <xf numFmtId="164" fontId="3" fillId="0" borderId="17" xfId="0" applyNumberFormat="1" applyFont="1" applyFill="1" applyBorder="1"/>
    <xf numFmtId="3" fontId="6" fillId="0" borderId="18" xfId="0" applyNumberFormat="1" applyFont="1" applyFill="1" applyBorder="1" applyAlignment="1" applyProtection="1">
      <protection locked="0"/>
    </xf>
    <xf numFmtId="3" fontId="7" fillId="0" borderId="18" xfId="0" applyNumberFormat="1" applyFont="1" applyFill="1" applyBorder="1" applyAlignment="1">
      <alignment wrapText="1"/>
    </xf>
    <xf numFmtId="9" fontId="7" fillId="0" borderId="19" xfId="0" applyNumberFormat="1" applyFont="1" applyFill="1" applyBorder="1" applyAlignment="1">
      <alignment horizontal="right" vertical="center" wrapText="1"/>
    </xf>
    <xf numFmtId="9" fontId="7" fillId="0" borderId="9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Protection="1">
      <protection locked="0"/>
    </xf>
    <xf numFmtId="3" fontId="6" fillId="0" borderId="7" xfId="0" applyNumberFormat="1" applyFont="1" applyFill="1" applyBorder="1" applyAlignment="1" applyProtection="1">
      <protection locked="0"/>
    </xf>
    <xf numFmtId="4" fontId="6" fillId="0" borderId="20" xfId="0" applyNumberFormat="1" applyFont="1" applyFill="1" applyBorder="1" applyAlignment="1" applyProtection="1">
      <protection locked="0"/>
    </xf>
    <xf numFmtId="164" fontId="3" fillId="0" borderId="21" xfId="0" applyNumberFormat="1" applyFont="1" applyFill="1" applyBorder="1"/>
    <xf numFmtId="3" fontId="6" fillId="0" borderId="8" xfId="0" applyNumberFormat="1" applyFont="1" applyFill="1" applyBorder="1" applyAlignment="1" applyProtection="1">
      <protection locked="0"/>
    </xf>
    <xf numFmtId="3" fontId="6" fillId="0" borderId="22" xfId="0" applyNumberFormat="1" applyFont="1" applyFill="1" applyBorder="1" applyAlignment="1" applyProtection="1">
      <protection locked="0"/>
    </xf>
    <xf numFmtId="3" fontId="7" fillId="0" borderId="7" xfId="0" applyNumberFormat="1" applyFont="1" applyFill="1" applyBorder="1" applyAlignment="1">
      <alignment wrapText="1"/>
    </xf>
    <xf numFmtId="3" fontId="6" fillId="0" borderId="20" xfId="0" applyNumberFormat="1" applyFont="1" applyFill="1" applyBorder="1" applyAlignment="1" applyProtection="1">
      <protection locked="0"/>
    </xf>
    <xf numFmtId="3" fontId="7" fillId="0" borderId="20" xfId="0" applyNumberFormat="1" applyFont="1" applyFill="1" applyBorder="1" applyAlignment="1">
      <alignment wrapText="1"/>
    </xf>
    <xf numFmtId="9" fontId="7" fillId="0" borderId="21" xfId="0" applyNumberFormat="1" applyFont="1" applyFill="1" applyBorder="1" applyAlignment="1">
      <alignment horizontal="right" vertical="center" wrapText="1"/>
    </xf>
    <xf numFmtId="9" fontId="7" fillId="0" borderId="7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3" fontId="7" fillId="0" borderId="0" xfId="0" applyNumberFormat="1" applyFont="1" applyFill="1" applyBorder="1"/>
    <xf numFmtId="9" fontId="3" fillId="0" borderId="0" xfId="0" applyNumberFormat="1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">
    <cellStyle name="Millares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68580</xdr:colOff>
      <xdr:row>0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70</xdr:row>
      <xdr:rowOff>0</xdr:rowOff>
    </xdr:from>
    <xdr:to>
      <xdr:col>17</xdr:col>
      <xdr:colOff>68580</xdr:colOff>
      <xdr:row>70</xdr:row>
      <xdr:rowOff>30480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10032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17</xdr:col>
      <xdr:colOff>68580</xdr:colOff>
      <xdr:row>69</xdr:row>
      <xdr:rowOff>30480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08585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43</xdr:row>
      <xdr:rowOff>0</xdr:rowOff>
    </xdr:from>
    <xdr:to>
      <xdr:col>17</xdr:col>
      <xdr:colOff>68580</xdr:colOff>
      <xdr:row>43</xdr:row>
      <xdr:rowOff>30480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706374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17</xdr:col>
      <xdr:colOff>68580</xdr:colOff>
      <xdr:row>39</xdr:row>
      <xdr:rowOff>30480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4846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17</xdr:col>
      <xdr:colOff>68580</xdr:colOff>
      <xdr:row>41</xdr:row>
      <xdr:rowOff>30480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67741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69</xdr:row>
      <xdr:rowOff>0</xdr:rowOff>
    </xdr:from>
    <xdr:to>
      <xdr:col>17</xdr:col>
      <xdr:colOff>68580</xdr:colOff>
      <xdr:row>69</xdr:row>
      <xdr:rowOff>30480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6420" y="108585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110"/>
  <sheetViews>
    <sheetView tabSelected="1" topLeftCell="I92" workbookViewId="0">
      <selection activeCell="A86" sqref="A86"/>
    </sheetView>
  </sheetViews>
  <sheetFormatPr baseColWidth="10" defaultColWidth="14.5" defaultRowHeight="12" x14ac:dyDescent="0.15"/>
  <cols>
    <col min="1" max="1" width="7.83203125" style="1" customWidth="1"/>
    <col min="2" max="2" width="41.6640625" style="1" customWidth="1"/>
    <col min="3" max="3" width="14" style="134" customWidth="1"/>
    <col min="4" max="4" width="12.1640625" style="1" customWidth="1"/>
    <col min="5" max="5" width="14.1640625" style="1" customWidth="1"/>
    <col min="6" max="6" width="12.83203125" style="135" customWidth="1"/>
    <col min="7" max="7" width="13.33203125" style="1" customWidth="1"/>
    <col min="8" max="8" width="11.33203125" style="134" customWidth="1"/>
    <col min="9" max="10" width="13.1640625" style="134" customWidth="1"/>
    <col min="11" max="11" width="13.83203125" style="136" customWidth="1"/>
    <col min="12" max="12" width="12.83203125" style="134" customWidth="1"/>
    <col min="13" max="13" width="14.5" style="134" customWidth="1"/>
    <col min="14" max="14" width="14.33203125" style="134" customWidth="1"/>
    <col min="15" max="15" width="10" style="134" customWidth="1"/>
    <col min="16" max="16" width="10.1640625" style="134" customWidth="1"/>
    <col min="17" max="17" width="11.1640625" style="137" customWidth="1"/>
    <col min="18" max="18" width="11.6640625" style="1" customWidth="1"/>
    <col min="19" max="19" width="11.5" style="1" customWidth="1"/>
    <col min="20" max="256" width="14.5" style="1"/>
    <col min="257" max="257" width="7.83203125" style="1" customWidth="1"/>
    <col min="258" max="258" width="41.6640625" style="1" customWidth="1"/>
    <col min="259" max="259" width="15.6640625" style="1" bestFit="1" customWidth="1"/>
    <col min="260" max="266" width="14.5" style="1" customWidth="1"/>
    <col min="267" max="267" width="18" style="1" customWidth="1"/>
    <col min="268" max="269" width="14.5" style="1" customWidth="1"/>
    <col min="270" max="270" width="20.1640625" style="1" customWidth="1"/>
    <col min="271" max="273" width="14.5" style="1" customWidth="1"/>
    <col min="274" max="512" width="14.5" style="1"/>
    <col min="513" max="513" width="7.83203125" style="1" customWidth="1"/>
    <col min="514" max="514" width="41.6640625" style="1" customWidth="1"/>
    <col min="515" max="515" width="15.6640625" style="1" bestFit="1" customWidth="1"/>
    <col min="516" max="522" width="14.5" style="1" customWidth="1"/>
    <col min="523" max="523" width="18" style="1" customWidth="1"/>
    <col min="524" max="525" width="14.5" style="1" customWidth="1"/>
    <col min="526" max="526" width="20.1640625" style="1" customWidth="1"/>
    <col min="527" max="529" width="14.5" style="1" customWidth="1"/>
    <col min="530" max="768" width="14.5" style="1"/>
    <col min="769" max="769" width="7.83203125" style="1" customWidth="1"/>
    <col min="770" max="770" width="41.6640625" style="1" customWidth="1"/>
    <col min="771" max="771" width="15.6640625" style="1" bestFit="1" customWidth="1"/>
    <col min="772" max="778" width="14.5" style="1" customWidth="1"/>
    <col min="779" max="779" width="18" style="1" customWidth="1"/>
    <col min="780" max="781" width="14.5" style="1" customWidth="1"/>
    <col min="782" max="782" width="20.1640625" style="1" customWidth="1"/>
    <col min="783" max="785" width="14.5" style="1" customWidth="1"/>
    <col min="786" max="1024" width="14.5" style="1"/>
    <col min="1025" max="1025" width="7.83203125" style="1" customWidth="1"/>
    <col min="1026" max="1026" width="41.6640625" style="1" customWidth="1"/>
    <col min="1027" max="1027" width="15.6640625" style="1" bestFit="1" customWidth="1"/>
    <col min="1028" max="1034" width="14.5" style="1" customWidth="1"/>
    <col min="1035" max="1035" width="18" style="1" customWidth="1"/>
    <col min="1036" max="1037" width="14.5" style="1" customWidth="1"/>
    <col min="1038" max="1038" width="20.1640625" style="1" customWidth="1"/>
    <col min="1039" max="1041" width="14.5" style="1" customWidth="1"/>
    <col min="1042" max="1280" width="14.5" style="1"/>
    <col min="1281" max="1281" width="7.83203125" style="1" customWidth="1"/>
    <col min="1282" max="1282" width="41.6640625" style="1" customWidth="1"/>
    <col min="1283" max="1283" width="15.6640625" style="1" bestFit="1" customWidth="1"/>
    <col min="1284" max="1290" width="14.5" style="1" customWidth="1"/>
    <col min="1291" max="1291" width="18" style="1" customWidth="1"/>
    <col min="1292" max="1293" width="14.5" style="1" customWidth="1"/>
    <col min="1294" max="1294" width="20.1640625" style="1" customWidth="1"/>
    <col min="1295" max="1297" width="14.5" style="1" customWidth="1"/>
    <col min="1298" max="1536" width="14.5" style="1"/>
    <col min="1537" max="1537" width="7.83203125" style="1" customWidth="1"/>
    <col min="1538" max="1538" width="41.6640625" style="1" customWidth="1"/>
    <col min="1539" max="1539" width="15.6640625" style="1" bestFit="1" customWidth="1"/>
    <col min="1540" max="1546" width="14.5" style="1" customWidth="1"/>
    <col min="1547" max="1547" width="18" style="1" customWidth="1"/>
    <col min="1548" max="1549" width="14.5" style="1" customWidth="1"/>
    <col min="1550" max="1550" width="20.1640625" style="1" customWidth="1"/>
    <col min="1551" max="1553" width="14.5" style="1" customWidth="1"/>
    <col min="1554" max="1792" width="14.5" style="1"/>
    <col min="1793" max="1793" width="7.83203125" style="1" customWidth="1"/>
    <col min="1794" max="1794" width="41.6640625" style="1" customWidth="1"/>
    <col min="1795" max="1795" width="15.6640625" style="1" bestFit="1" customWidth="1"/>
    <col min="1796" max="1802" width="14.5" style="1" customWidth="1"/>
    <col min="1803" max="1803" width="18" style="1" customWidth="1"/>
    <col min="1804" max="1805" width="14.5" style="1" customWidth="1"/>
    <col min="1806" max="1806" width="20.1640625" style="1" customWidth="1"/>
    <col min="1807" max="1809" width="14.5" style="1" customWidth="1"/>
    <col min="1810" max="2048" width="14.5" style="1"/>
    <col min="2049" max="2049" width="7.83203125" style="1" customWidth="1"/>
    <col min="2050" max="2050" width="41.6640625" style="1" customWidth="1"/>
    <col min="2051" max="2051" width="15.6640625" style="1" bestFit="1" customWidth="1"/>
    <col min="2052" max="2058" width="14.5" style="1" customWidth="1"/>
    <col min="2059" max="2059" width="18" style="1" customWidth="1"/>
    <col min="2060" max="2061" width="14.5" style="1" customWidth="1"/>
    <col min="2062" max="2062" width="20.1640625" style="1" customWidth="1"/>
    <col min="2063" max="2065" width="14.5" style="1" customWidth="1"/>
    <col min="2066" max="2304" width="14.5" style="1"/>
    <col min="2305" max="2305" width="7.83203125" style="1" customWidth="1"/>
    <col min="2306" max="2306" width="41.6640625" style="1" customWidth="1"/>
    <col min="2307" max="2307" width="15.6640625" style="1" bestFit="1" customWidth="1"/>
    <col min="2308" max="2314" width="14.5" style="1" customWidth="1"/>
    <col min="2315" max="2315" width="18" style="1" customWidth="1"/>
    <col min="2316" max="2317" width="14.5" style="1" customWidth="1"/>
    <col min="2318" max="2318" width="20.1640625" style="1" customWidth="1"/>
    <col min="2319" max="2321" width="14.5" style="1" customWidth="1"/>
    <col min="2322" max="2560" width="14.5" style="1"/>
    <col min="2561" max="2561" width="7.83203125" style="1" customWidth="1"/>
    <col min="2562" max="2562" width="41.6640625" style="1" customWidth="1"/>
    <col min="2563" max="2563" width="15.6640625" style="1" bestFit="1" customWidth="1"/>
    <col min="2564" max="2570" width="14.5" style="1" customWidth="1"/>
    <col min="2571" max="2571" width="18" style="1" customWidth="1"/>
    <col min="2572" max="2573" width="14.5" style="1" customWidth="1"/>
    <col min="2574" max="2574" width="20.1640625" style="1" customWidth="1"/>
    <col min="2575" max="2577" width="14.5" style="1" customWidth="1"/>
    <col min="2578" max="2816" width="14.5" style="1"/>
    <col min="2817" max="2817" width="7.83203125" style="1" customWidth="1"/>
    <col min="2818" max="2818" width="41.6640625" style="1" customWidth="1"/>
    <col min="2819" max="2819" width="15.6640625" style="1" bestFit="1" customWidth="1"/>
    <col min="2820" max="2826" width="14.5" style="1" customWidth="1"/>
    <col min="2827" max="2827" width="18" style="1" customWidth="1"/>
    <col min="2828" max="2829" width="14.5" style="1" customWidth="1"/>
    <col min="2830" max="2830" width="20.1640625" style="1" customWidth="1"/>
    <col min="2831" max="2833" width="14.5" style="1" customWidth="1"/>
    <col min="2834" max="3072" width="14.5" style="1"/>
    <col min="3073" max="3073" width="7.83203125" style="1" customWidth="1"/>
    <col min="3074" max="3074" width="41.6640625" style="1" customWidth="1"/>
    <col min="3075" max="3075" width="15.6640625" style="1" bestFit="1" customWidth="1"/>
    <col min="3076" max="3082" width="14.5" style="1" customWidth="1"/>
    <col min="3083" max="3083" width="18" style="1" customWidth="1"/>
    <col min="3084" max="3085" width="14.5" style="1" customWidth="1"/>
    <col min="3086" max="3086" width="20.1640625" style="1" customWidth="1"/>
    <col min="3087" max="3089" width="14.5" style="1" customWidth="1"/>
    <col min="3090" max="3328" width="14.5" style="1"/>
    <col min="3329" max="3329" width="7.83203125" style="1" customWidth="1"/>
    <col min="3330" max="3330" width="41.6640625" style="1" customWidth="1"/>
    <col min="3331" max="3331" width="15.6640625" style="1" bestFit="1" customWidth="1"/>
    <col min="3332" max="3338" width="14.5" style="1" customWidth="1"/>
    <col min="3339" max="3339" width="18" style="1" customWidth="1"/>
    <col min="3340" max="3341" width="14.5" style="1" customWidth="1"/>
    <col min="3342" max="3342" width="20.1640625" style="1" customWidth="1"/>
    <col min="3343" max="3345" width="14.5" style="1" customWidth="1"/>
    <col min="3346" max="3584" width="14.5" style="1"/>
    <col min="3585" max="3585" width="7.83203125" style="1" customWidth="1"/>
    <col min="3586" max="3586" width="41.6640625" style="1" customWidth="1"/>
    <col min="3587" max="3587" width="15.6640625" style="1" bestFit="1" customWidth="1"/>
    <col min="3588" max="3594" width="14.5" style="1" customWidth="1"/>
    <col min="3595" max="3595" width="18" style="1" customWidth="1"/>
    <col min="3596" max="3597" width="14.5" style="1" customWidth="1"/>
    <col min="3598" max="3598" width="20.1640625" style="1" customWidth="1"/>
    <col min="3599" max="3601" width="14.5" style="1" customWidth="1"/>
    <col min="3602" max="3840" width="14.5" style="1"/>
    <col min="3841" max="3841" width="7.83203125" style="1" customWidth="1"/>
    <col min="3842" max="3842" width="41.6640625" style="1" customWidth="1"/>
    <col min="3843" max="3843" width="15.6640625" style="1" bestFit="1" customWidth="1"/>
    <col min="3844" max="3850" width="14.5" style="1" customWidth="1"/>
    <col min="3851" max="3851" width="18" style="1" customWidth="1"/>
    <col min="3852" max="3853" width="14.5" style="1" customWidth="1"/>
    <col min="3854" max="3854" width="20.1640625" style="1" customWidth="1"/>
    <col min="3855" max="3857" width="14.5" style="1" customWidth="1"/>
    <col min="3858" max="4096" width="14.5" style="1"/>
    <col min="4097" max="4097" width="7.83203125" style="1" customWidth="1"/>
    <col min="4098" max="4098" width="41.6640625" style="1" customWidth="1"/>
    <col min="4099" max="4099" width="15.6640625" style="1" bestFit="1" customWidth="1"/>
    <col min="4100" max="4106" width="14.5" style="1" customWidth="1"/>
    <col min="4107" max="4107" width="18" style="1" customWidth="1"/>
    <col min="4108" max="4109" width="14.5" style="1" customWidth="1"/>
    <col min="4110" max="4110" width="20.1640625" style="1" customWidth="1"/>
    <col min="4111" max="4113" width="14.5" style="1" customWidth="1"/>
    <col min="4114" max="4352" width="14.5" style="1"/>
    <col min="4353" max="4353" width="7.83203125" style="1" customWidth="1"/>
    <col min="4354" max="4354" width="41.6640625" style="1" customWidth="1"/>
    <col min="4355" max="4355" width="15.6640625" style="1" bestFit="1" customWidth="1"/>
    <col min="4356" max="4362" width="14.5" style="1" customWidth="1"/>
    <col min="4363" max="4363" width="18" style="1" customWidth="1"/>
    <col min="4364" max="4365" width="14.5" style="1" customWidth="1"/>
    <col min="4366" max="4366" width="20.1640625" style="1" customWidth="1"/>
    <col min="4367" max="4369" width="14.5" style="1" customWidth="1"/>
    <col min="4370" max="4608" width="14.5" style="1"/>
    <col min="4609" max="4609" width="7.83203125" style="1" customWidth="1"/>
    <col min="4610" max="4610" width="41.6640625" style="1" customWidth="1"/>
    <col min="4611" max="4611" width="15.6640625" style="1" bestFit="1" customWidth="1"/>
    <col min="4612" max="4618" width="14.5" style="1" customWidth="1"/>
    <col min="4619" max="4619" width="18" style="1" customWidth="1"/>
    <col min="4620" max="4621" width="14.5" style="1" customWidth="1"/>
    <col min="4622" max="4622" width="20.1640625" style="1" customWidth="1"/>
    <col min="4623" max="4625" width="14.5" style="1" customWidth="1"/>
    <col min="4626" max="4864" width="14.5" style="1"/>
    <col min="4865" max="4865" width="7.83203125" style="1" customWidth="1"/>
    <col min="4866" max="4866" width="41.6640625" style="1" customWidth="1"/>
    <col min="4867" max="4867" width="15.6640625" style="1" bestFit="1" customWidth="1"/>
    <col min="4868" max="4874" width="14.5" style="1" customWidth="1"/>
    <col min="4875" max="4875" width="18" style="1" customWidth="1"/>
    <col min="4876" max="4877" width="14.5" style="1" customWidth="1"/>
    <col min="4878" max="4878" width="20.1640625" style="1" customWidth="1"/>
    <col min="4879" max="4881" width="14.5" style="1" customWidth="1"/>
    <col min="4882" max="5120" width="14.5" style="1"/>
    <col min="5121" max="5121" width="7.83203125" style="1" customWidth="1"/>
    <col min="5122" max="5122" width="41.6640625" style="1" customWidth="1"/>
    <col min="5123" max="5123" width="15.6640625" style="1" bestFit="1" customWidth="1"/>
    <col min="5124" max="5130" width="14.5" style="1" customWidth="1"/>
    <col min="5131" max="5131" width="18" style="1" customWidth="1"/>
    <col min="5132" max="5133" width="14.5" style="1" customWidth="1"/>
    <col min="5134" max="5134" width="20.1640625" style="1" customWidth="1"/>
    <col min="5135" max="5137" width="14.5" style="1" customWidth="1"/>
    <col min="5138" max="5376" width="14.5" style="1"/>
    <col min="5377" max="5377" width="7.83203125" style="1" customWidth="1"/>
    <col min="5378" max="5378" width="41.6640625" style="1" customWidth="1"/>
    <col min="5379" max="5379" width="15.6640625" style="1" bestFit="1" customWidth="1"/>
    <col min="5380" max="5386" width="14.5" style="1" customWidth="1"/>
    <col min="5387" max="5387" width="18" style="1" customWidth="1"/>
    <col min="5388" max="5389" width="14.5" style="1" customWidth="1"/>
    <col min="5390" max="5390" width="20.1640625" style="1" customWidth="1"/>
    <col min="5391" max="5393" width="14.5" style="1" customWidth="1"/>
    <col min="5394" max="5632" width="14.5" style="1"/>
    <col min="5633" max="5633" width="7.83203125" style="1" customWidth="1"/>
    <col min="5634" max="5634" width="41.6640625" style="1" customWidth="1"/>
    <col min="5635" max="5635" width="15.6640625" style="1" bestFit="1" customWidth="1"/>
    <col min="5636" max="5642" width="14.5" style="1" customWidth="1"/>
    <col min="5643" max="5643" width="18" style="1" customWidth="1"/>
    <col min="5644" max="5645" width="14.5" style="1" customWidth="1"/>
    <col min="5646" max="5646" width="20.1640625" style="1" customWidth="1"/>
    <col min="5647" max="5649" width="14.5" style="1" customWidth="1"/>
    <col min="5650" max="5888" width="14.5" style="1"/>
    <col min="5889" max="5889" width="7.83203125" style="1" customWidth="1"/>
    <col min="5890" max="5890" width="41.6640625" style="1" customWidth="1"/>
    <col min="5891" max="5891" width="15.6640625" style="1" bestFit="1" customWidth="1"/>
    <col min="5892" max="5898" width="14.5" style="1" customWidth="1"/>
    <col min="5899" max="5899" width="18" style="1" customWidth="1"/>
    <col min="5900" max="5901" width="14.5" style="1" customWidth="1"/>
    <col min="5902" max="5902" width="20.1640625" style="1" customWidth="1"/>
    <col min="5903" max="5905" width="14.5" style="1" customWidth="1"/>
    <col min="5906" max="6144" width="14.5" style="1"/>
    <col min="6145" max="6145" width="7.83203125" style="1" customWidth="1"/>
    <col min="6146" max="6146" width="41.6640625" style="1" customWidth="1"/>
    <col min="6147" max="6147" width="15.6640625" style="1" bestFit="1" customWidth="1"/>
    <col min="6148" max="6154" width="14.5" style="1" customWidth="1"/>
    <col min="6155" max="6155" width="18" style="1" customWidth="1"/>
    <col min="6156" max="6157" width="14.5" style="1" customWidth="1"/>
    <col min="6158" max="6158" width="20.1640625" style="1" customWidth="1"/>
    <col min="6159" max="6161" width="14.5" style="1" customWidth="1"/>
    <col min="6162" max="6400" width="14.5" style="1"/>
    <col min="6401" max="6401" width="7.83203125" style="1" customWidth="1"/>
    <col min="6402" max="6402" width="41.6640625" style="1" customWidth="1"/>
    <col min="6403" max="6403" width="15.6640625" style="1" bestFit="1" customWidth="1"/>
    <col min="6404" max="6410" width="14.5" style="1" customWidth="1"/>
    <col min="6411" max="6411" width="18" style="1" customWidth="1"/>
    <col min="6412" max="6413" width="14.5" style="1" customWidth="1"/>
    <col min="6414" max="6414" width="20.1640625" style="1" customWidth="1"/>
    <col min="6415" max="6417" width="14.5" style="1" customWidth="1"/>
    <col min="6418" max="6656" width="14.5" style="1"/>
    <col min="6657" max="6657" width="7.83203125" style="1" customWidth="1"/>
    <col min="6658" max="6658" width="41.6640625" style="1" customWidth="1"/>
    <col min="6659" max="6659" width="15.6640625" style="1" bestFit="1" customWidth="1"/>
    <col min="6660" max="6666" width="14.5" style="1" customWidth="1"/>
    <col min="6667" max="6667" width="18" style="1" customWidth="1"/>
    <col min="6668" max="6669" width="14.5" style="1" customWidth="1"/>
    <col min="6670" max="6670" width="20.1640625" style="1" customWidth="1"/>
    <col min="6671" max="6673" width="14.5" style="1" customWidth="1"/>
    <col min="6674" max="6912" width="14.5" style="1"/>
    <col min="6913" max="6913" width="7.83203125" style="1" customWidth="1"/>
    <col min="6914" max="6914" width="41.6640625" style="1" customWidth="1"/>
    <col min="6915" max="6915" width="15.6640625" style="1" bestFit="1" customWidth="1"/>
    <col min="6916" max="6922" width="14.5" style="1" customWidth="1"/>
    <col min="6923" max="6923" width="18" style="1" customWidth="1"/>
    <col min="6924" max="6925" width="14.5" style="1" customWidth="1"/>
    <col min="6926" max="6926" width="20.1640625" style="1" customWidth="1"/>
    <col min="6927" max="6929" width="14.5" style="1" customWidth="1"/>
    <col min="6930" max="7168" width="14.5" style="1"/>
    <col min="7169" max="7169" width="7.83203125" style="1" customWidth="1"/>
    <col min="7170" max="7170" width="41.6640625" style="1" customWidth="1"/>
    <col min="7171" max="7171" width="15.6640625" style="1" bestFit="1" customWidth="1"/>
    <col min="7172" max="7178" width="14.5" style="1" customWidth="1"/>
    <col min="7179" max="7179" width="18" style="1" customWidth="1"/>
    <col min="7180" max="7181" width="14.5" style="1" customWidth="1"/>
    <col min="7182" max="7182" width="20.1640625" style="1" customWidth="1"/>
    <col min="7183" max="7185" width="14.5" style="1" customWidth="1"/>
    <col min="7186" max="7424" width="14.5" style="1"/>
    <col min="7425" max="7425" width="7.83203125" style="1" customWidth="1"/>
    <col min="7426" max="7426" width="41.6640625" style="1" customWidth="1"/>
    <col min="7427" max="7427" width="15.6640625" style="1" bestFit="1" customWidth="1"/>
    <col min="7428" max="7434" width="14.5" style="1" customWidth="1"/>
    <col min="7435" max="7435" width="18" style="1" customWidth="1"/>
    <col min="7436" max="7437" width="14.5" style="1" customWidth="1"/>
    <col min="7438" max="7438" width="20.1640625" style="1" customWidth="1"/>
    <col min="7439" max="7441" width="14.5" style="1" customWidth="1"/>
    <col min="7442" max="7680" width="14.5" style="1"/>
    <col min="7681" max="7681" width="7.83203125" style="1" customWidth="1"/>
    <col min="7682" max="7682" width="41.6640625" style="1" customWidth="1"/>
    <col min="7683" max="7683" width="15.6640625" style="1" bestFit="1" customWidth="1"/>
    <col min="7684" max="7690" width="14.5" style="1" customWidth="1"/>
    <col min="7691" max="7691" width="18" style="1" customWidth="1"/>
    <col min="7692" max="7693" width="14.5" style="1" customWidth="1"/>
    <col min="7694" max="7694" width="20.1640625" style="1" customWidth="1"/>
    <col min="7695" max="7697" width="14.5" style="1" customWidth="1"/>
    <col min="7698" max="7936" width="14.5" style="1"/>
    <col min="7937" max="7937" width="7.83203125" style="1" customWidth="1"/>
    <col min="7938" max="7938" width="41.6640625" style="1" customWidth="1"/>
    <col min="7939" max="7939" width="15.6640625" style="1" bestFit="1" customWidth="1"/>
    <col min="7940" max="7946" width="14.5" style="1" customWidth="1"/>
    <col min="7947" max="7947" width="18" style="1" customWidth="1"/>
    <col min="7948" max="7949" width="14.5" style="1" customWidth="1"/>
    <col min="7950" max="7950" width="20.1640625" style="1" customWidth="1"/>
    <col min="7951" max="7953" width="14.5" style="1" customWidth="1"/>
    <col min="7954" max="8192" width="14.5" style="1"/>
    <col min="8193" max="8193" width="7.83203125" style="1" customWidth="1"/>
    <col min="8194" max="8194" width="41.6640625" style="1" customWidth="1"/>
    <col min="8195" max="8195" width="15.6640625" style="1" bestFit="1" customWidth="1"/>
    <col min="8196" max="8202" width="14.5" style="1" customWidth="1"/>
    <col min="8203" max="8203" width="18" style="1" customWidth="1"/>
    <col min="8204" max="8205" width="14.5" style="1" customWidth="1"/>
    <col min="8206" max="8206" width="20.1640625" style="1" customWidth="1"/>
    <col min="8207" max="8209" width="14.5" style="1" customWidth="1"/>
    <col min="8210" max="8448" width="14.5" style="1"/>
    <col min="8449" max="8449" width="7.83203125" style="1" customWidth="1"/>
    <col min="8450" max="8450" width="41.6640625" style="1" customWidth="1"/>
    <col min="8451" max="8451" width="15.6640625" style="1" bestFit="1" customWidth="1"/>
    <col min="8452" max="8458" width="14.5" style="1" customWidth="1"/>
    <col min="8459" max="8459" width="18" style="1" customWidth="1"/>
    <col min="8460" max="8461" width="14.5" style="1" customWidth="1"/>
    <col min="8462" max="8462" width="20.1640625" style="1" customWidth="1"/>
    <col min="8463" max="8465" width="14.5" style="1" customWidth="1"/>
    <col min="8466" max="8704" width="14.5" style="1"/>
    <col min="8705" max="8705" width="7.83203125" style="1" customWidth="1"/>
    <col min="8706" max="8706" width="41.6640625" style="1" customWidth="1"/>
    <col min="8707" max="8707" width="15.6640625" style="1" bestFit="1" customWidth="1"/>
    <col min="8708" max="8714" width="14.5" style="1" customWidth="1"/>
    <col min="8715" max="8715" width="18" style="1" customWidth="1"/>
    <col min="8716" max="8717" width="14.5" style="1" customWidth="1"/>
    <col min="8718" max="8718" width="20.1640625" style="1" customWidth="1"/>
    <col min="8719" max="8721" width="14.5" style="1" customWidth="1"/>
    <col min="8722" max="8960" width="14.5" style="1"/>
    <col min="8961" max="8961" width="7.83203125" style="1" customWidth="1"/>
    <col min="8962" max="8962" width="41.6640625" style="1" customWidth="1"/>
    <col min="8963" max="8963" width="15.6640625" style="1" bestFit="1" customWidth="1"/>
    <col min="8964" max="8970" width="14.5" style="1" customWidth="1"/>
    <col min="8971" max="8971" width="18" style="1" customWidth="1"/>
    <col min="8972" max="8973" width="14.5" style="1" customWidth="1"/>
    <col min="8974" max="8974" width="20.1640625" style="1" customWidth="1"/>
    <col min="8975" max="8977" width="14.5" style="1" customWidth="1"/>
    <col min="8978" max="9216" width="14.5" style="1"/>
    <col min="9217" max="9217" width="7.83203125" style="1" customWidth="1"/>
    <col min="9218" max="9218" width="41.6640625" style="1" customWidth="1"/>
    <col min="9219" max="9219" width="15.6640625" style="1" bestFit="1" customWidth="1"/>
    <col min="9220" max="9226" width="14.5" style="1" customWidth="1"/>
    <col min="9227" max="9227" width="18" style="1" customWidth="1"/>
    <col min="9228" max="9229" width="14.5" style="1" customWidth="1"/>
    <col min="9230" max="9230" width="20.1640625" style="1" customWidth="1"/>
    <col min="9231" max="9233" width="14.5" style="1" customWidth="1"/>
    <col min="9234" max="9472" width="14.5" style="1"/>
    <col min="9473" max="9473" width="7.83203125" style="1" customWidth="1"/>
    <col min="9474" max="9474" width="41.6640625" style="1" customWidth="1"/>
    <col min="9475" max="9475" width="15.6640625" style="1" bestFit="1" customWidth="1"/>
    <col min="9476" max="9482" width="14.5" style="1" customWidth="1"/>
    <col min="9483" max="9483" width="18" style="1" customWidth="1"/>
    <col min="9484" max="9485" width="14.5" style="1" customWidth="1"/>
    <col min="9486" max="9486" width="20.1640625" style="1" customWidth="1"/>
    <col min="9487" max="9489" width="14.5" style="1" customWidth="1"/>
    <col min="9490" max="9728" width="14.5" style="1"/>
    <col min="9729" max="9729" width="7.83203125" style="1" customWidth="1"/>
    <col min="9730" max="9730" width="41.6640625" style="1" customWidth="1"/>
    <col min="9731" max="9731" width="15.6640625" style="1" bestFit="1" customWidth="1"/>
    <col min="9732" max="9738" width="14.5" style="1" customWidth="1"/>
    <col min="9739" max="9739" width="18" style="1" customWidth="1"/>
    <col min="9740" max="9741" width="14.5" style="1" customWidth="1"/>
    <col min="9742" max="9742" width="20.1640625" style="1" customWidth="1"/>
    <col min="9743" max="9745" width="14.5" style="1" customWidth="1"/>
    <col min="9746" max="9984" width="14.5" style="1"/>
    <col min="9985" max="9985" width="7.83203125" style="1" customWidth="1"/>
    <col min="9986" max="9986" width="41.6640625" style="1" customWidth="1"/>
    <col min="9987" max="9987" width="15.6640625" style="1" bestFit="1" customWidth="1"/>
    <col min="9988" max="9994" width="14.5" style="1" customWidth="1"/>
    <col min="9995" max="9995" width="18" style="1" customWidth="1"/>
    <col min="9996" max="9997" width="14.5" style="1" customWidth="1"/>
    <col min="9998" max="9998" width="20.1640625" style="1" customWidth="1"/>
    <col min="9999" max="10001" width="14.5" style="1" customWidth="1"/>
    <col min="10002" max="10240" width="14.5" style="1"/>
    <col min="10241" max="10241" width="7.83203125" style="1" customWidth="1"/>
    <col min="10242" max="10242" width="41.6640625" style="1" customWidth="1"/>
    <col min="10243" max="10243" width="15.6640625" style="1" bestFit="1" customWidth="1"/>
    <col min="10244" max="10250" width="14.5" style="1" customWidth="1"/>
    <col min="10251" max="10251" width="18" style="1" customWidth="1"/>
    <col min="10252" max="10253" width="14.5" style="1" customWidth="1"/>
    <col min="10254" max="10254" width="20.1640625" style="1" customWidth="1"/>
    <col min="10255" max="10257" width="14.5" style="1" customWidth="1"/>
    <col min="10258" max="10496" width="14.5" style="1"/>
    <col min="10497" max="10497" width="7.83203125" style="1" customWidth="1"/>
    <col min="10498" max="10498" width="41.6640625" style="1" customWidth="1"/>
    <col min="10499" max="10499" width="15.6640625" style="1" bestFit="1" customWidth="1"/>
    <col min="10500" max="10506" width="14.5" style="1" customWidth="1"/>
    <col min="10507" max="10507" width="18" style="1" customWidth="1"/>
    <col min="10508" max="10509" width="14.5" style="1" customWidth="1"/>
    <col min="10510" max="10510" width="20.1640625" style="1" customWidth="1"/>
    <col min="10511" max="10513" width="14.5" style="1" customWidth="1"/>
    <col min="10514" max="10752" width="14.5" style="1"/>
    <col min="10753" max="10753" width="7.83203125" style="1" customWidth="1"/>
    <col min="10754" max="10754" width="41.6640625" style="1" customWidth="1"/>
    <col min="10755" max="10755" width="15.6640625" style="1" bestFit="1" customWidth="1"/>
    <col min="10756" max="10762" width="14.5" style="1" customWidth="1"/>
    <col min="10763" max="10763" width="18" style="1" customWidth="1"/>
    <col min="10764" max="10765" width="14.5" style="1" customWidth="1"/>
    <col min="10766" max="10766" width="20.1640625" style="1" customWidth="1"/>
    <col min="10767" max="10769" width="14.5" style="1" customWidth="1"/>
    <col min="10770" max="11008" width="14.5" style="1"/>
    <col min="11009" max="11009" width="7.83203125" style="1" customWidth="1"/>
    <col min="11010" max="11010" width="41.6640625" style="1" customWidth="1"/>
    <col min="11011" max="11011" width="15.6640625" style="1" bestFit="1" customWidth="1"/>
    <col min="11012" max="11018" width="14.5" style="1" customWidth="1"/>
    <col min="11019" max="11019" width="18" style="1" customWidth="1"/>
    <col min="11020" max="11021" width="14.5" style="1" customWidth="1"/>
    <col min="11022" max="11022" width="20.1640625" style="1" customWidth="1"/>
    <col min="11023" max="11025" width="14.5" style="1" customWidth="1"/>
    <col min="11026" max="11264" width="14.5" style="1"/>
    <col min="11265" max="11265" width="7.83203125" style="1" customWidth="1"/>
    <col min="11266" max="11266" width="41.6640625" style="1" customWidth="1"/>
    <col min="11267" max="11267" width="15.6640625" style="1" bestFit="1" customWidth="1"/>
    <col min="11268" max="11274" width="14.5" style="1" customWidth="1"/>
    <col min="11275" max="11275" width="18" style="1" customWidth="1"/>
    <col min="11276" max="11277" width="14.5" style="1" customWidth="1"/>
    <col min="11278" max="11278" width="20.1640625" style="1" customWidth="1"/>
    <col min="11279" max="11281" width="14.5" style="1" customWidth="1"/>
    <col min="11282" max="11520" width="14.5" style="1"/>
    <col min="11521" max="11521" width="7.83203125" style="1" customWidth="1"/>
    <col min="11522" max="11522" width="41.6640625" style="1" customWidth="1"/>
    <col min="11523" max="11523" width="15.6640625" style="1" bestFit="1" customWidth="1"/>
    <col min="11524" max="11530" width="14.5" style="1" customWidth="1"/>
    <col min="11531" max="11531" width="18" style="1" customWidth="1"/>
    <col min="11532" max="11533" width="14.5" style="1" customWidth="1"/>
    <col min="11534" max="11534" width="20.1640625" style="1" customWidth="1"/>
    <col min="11535" max="11537" width="14.5" style="1" customWidth="1"/>
    <col min="11538" max="11776" width="14.5" style="1"/>
    <col min="11777" max="11777" width="7.83203125" style="1" customWidth="1"/>
    <col min="11778" max="11778" width="41.6640625" style="1" customWidth="1"/>
    <col min="11779" max="11779" width="15.6640625" style="1" bestFit="1" customWidth="1"/>
    <col min="11780" max="11786" width="14.5" style="1" customWidth="1"/>
    <col min="11787" max="11787" width="18" style="1" customWidth="1"/>
    <col min="11788" max="11789" width="14.5" style="1" customWidth="1"/>
    <col min="11790" max="11790" width="20.1640625" style="1" customWidth="1"/>
    <col min="11791" max="11793" width="14.5" style="1" customWidth="1"/>
    <col min="11794" max="12032" width="14.5" style="1"/>
    <col min="12033" max="12033" width="7.83203125" style="1" customWidth="1"/>
    <col min="12034" max="12034" width="41.6640625" style="1" customWidth="1"/>
    <col min="12035" max="12035" width="15.6640625" style="1" bestFit="1" customWidth="1"/>
    <col min="12036" max="12042" width="14.5" style="1" customWidth="1"/>
    <col min="12043" max="12043" width="18" style="1" customWidth="1"/>
    <col min="12044" max="12045" width="14.5" style="1" customWidth="1"/>
    <col min="12046" max="12046" width="20.1640625" style="1" customWidth="1"/>
    <col min="12047" max="12049" width="14.5" style="1" customWidth="1"/>
    <col min="12050" max="12288" width="14.5" style="1"/>
    <col min="12289" max="12289" width="7.83203125" style="1" customWidth="1"/>
    <col min="12290" max="12290" width="41.6640625" style="1" customWidth="1"/>
    <col min="12291" max="12291" width="15.6640625" style="1" bestFit="1" customWidth="1"/>
    <col min="12292" max="12298" width="14.5" style="1" customWidth="1"/>
    <col min="12299" max="12299" width="18" style="1" customWidth="1"/>
    <col min="12300" max="12301" width="14.5" style="1" customWidth="1"/>
    <col min="12302" max="12302" width="20.1640625" style="1" customWidth="1"/>
    <col min="12303" max="12305" width="14.5" style="1" customWidth="1"/>
    <col min="12306" max="12544" width="14.5" style="1"/>
    <col min="12545" max="12545" width="7.83203125" style="1" customWidth="1"/>
    <col min="12546" max="12546" width="41.6640625" style="1" customWidth="1"/>
    <col min="12547" max="12547" width="15.6640625" style="1" bestFit="1" customWidth="1"/>
    <col min="12548" max="12554" width="14.5" style="1" customWidth="1"/>
    <col min="12555" max="12555" width="18" style="1" customWidth="1"/>
    <col min="12556" max="12557" width="14.5" style="1" customWidth="1"/>
    <col min="12558" max="12558" width="20.1640625" style="1" customWidth="1"/>
    <col min="12559" max="12561" width="14.5" style="1" customWidth="1"/>
    <col min="12562" max="12800" width="14.5" style="1"/>
    <col min="12801" max="12801" width="7.83203125" style="1" customWidth="1"/>
    <col min="12802" max="12802" width="41.6640625" style="1" customWidth="1"/>
    <col min="12803" max="12803" width="15.6640625" style="1" bestFit="1" customWidth="1"/>
    <col min="12804" max="12810" width="14.5" style="1" customWidth="1"/>
    <col min="12811" max="12811" width="18" style="1" customWidth="1"/>
    <col min="12812" max="12813" width="14.5" style="1" customWidth="1"/>
    <col min="12814" max="12814" width="20.1640625" style="1" customWidth="1"/>
    <col min="12815" max="12817" width="14.5" style="1" customWidth="1"/>
    <col min="12818" max="13056" width="14.5" style="1"/>
    <col min="13057" max="13057" width="7.83203125" style="1" customWidth="1"/>
    <col min="13058" max="13058" width="41.6640625" style="1" customWidth="1"/>
    <col min="13059" max="13059" width="15.6640625" style="1" bestFit="1" customWidth="1"/>
    <col min="13060" max="13066" width="14.5" style="1" customWidth="1"/>
    <col min="13067" max="13067" width="18" style="1" customWidth="1"/>
    <col min="13068" max="13069" width="14.5" style="1" customWidth="1"/>
    <col min="13070" max="13070" width="20.1640625" style="1" customWidth="1"/>
    <col min="13071" max="13073" width="14.5" style="1" customWidth="1"/>
    <col min="13074" max="13312" width="14.5" style="1"/>
    <col min="13313" max="13313" width="7.83203125" style="1" customWidth="1"/>
    <col min="13314" max="13314" width="41.6640625" style="1" customWidth="1"/>
    <col min="13315" max="13315" width="15.6640625" style="1" bestFit="1" customWidth="1"/>
    <col min="13316" max="13322" width="14.5" style="1" customWidth="1"/>
    <col min="13323" max="13323" width="18" style="1" customWidth="1"/>
    <col min="13324" max="13325" width="14.5" style="1" customWidth="1"/>
    <col min="13326" max="13326" width="20.1640625" style="1" customWidth="1"/>
    <col min="13327" max="13329" width="14.5" style="1" customWidth="1"/>
    <col min="13330" max="13568" width="14.5" style="1"/>
    <col min="13569" max="13569" width="7.83203125" style="1" customWidth="1"/>
    <col min="13570" max="13570" width="41.6640625" style="1" customWidth="1"/>
    <col min="13571" max="13571" width="15.6640625" style="1" bestFit="1" customWidth="1"/>
    <col min="13572" max="13578" width="14.5" style="1" customWidth="1"/>
    <col min="13579" max="13579" width="18" style="1" customWidth="1"/>
    <col min="13580" max="13581" width="14.5" style="1" customWidth="1"/>
    <col min="13582" max="13582" width="20.1640625" style="1" customWidth="1"/>
    <col min="13583" max="13585" width="14.5" style="1" customWidth="1"/>
    <col min="13586" max="13824" width="14.5" style="1"/>
    <col min="13825" max="13825" width="7.83203125" style="1" customWidth="1"/>
    <col min="13826" max="13826" width="41.6640625" style="1" customWidth="1"/>
    <col min="13827" max="13827" width="15.6640625" style="1" bestFit="1" customWidth="1"/>
    <col min="13828" max="13834" width="14.5" style="1" customWidth="1"/>
    <col min="13835" max="13835" width="18" style="1" customWidth="1"/>
    <col min="13836" max="13837" width="14.5" style="1" customWidth="1"/>
    <col min="13838" max="13838" width="20.1640625" style="1" customWidth="1"/>
    <col min="13839" max="13841" width="14.5" style="1" customWidth="1"/>
    <col min="13842" max="14080" width="14.5" style="1"/>
    <col min="14081" max="14081" width="7.83203125" style="1" customWidth="1"/>
    <col min="14082" max="14082" width="41.6640625" style="1" customWidth="1"/>
    <col min="14083" max="14083" width="15.6640625" style="1" bestFit="1" customWidth="1"/>
    <col min="14084" max="14090" width="14.5" style="1" customWidth="1"/>
    <col min="14091" max="14091" width="18" style="1" customWidth="1"/>
    <col min="14092" max="14093" width="14.5" style="1" customWidth="1"/>
    <col min="14094" max="14094" width="20.1640625" style="1" customWidth="1"/>
    <col min="14095" max="14097" width="14.5" style="1" customWidth="1"/>
    <col min="14098" max="14336" width="14.5" style="1"/>
    <col min="14337" max="14337" width="7.83203125" style="1" customWidth="1"/>
    <col min="14338" max="14338" width="41.6640625" style="1" customWidth="1"/>
    <col min="14339" max="14339" width="15.6640625" style="1" bestFit="1" customWidth="1"/>
    <col min="14340" max="14346" width="14.5" style="1" customWidth="1"/>
    <col min="14347" max="14347" width="18" style="1" customWidth="1"/>
    <col min="14348" max="14349" width="14.5" style="1" customWidth="1"/>
    <col min="14350" max="14350" width="20.1640625" style="1" customWidth="1"/>
    <col min="14351" max="14353" width="14.5" style="1" customWidth="1"/>
    <col min="14354" max="14592" width="14.5" style="1"/>
    <col min="14593" max="14593" width="7.83203125" style="1" customWidth="1"/>
    <col min="14594" max="14594" width="41.6640625" style="1" customWidth="1"/>
    <col min="14595" max="14595" width="15.6640625" style="1" bestFit="1" customWidth="1"/>
    <col min="14596" max="14602" width="14.5" style="1" customWidth="1"/>
    <col min="14603" max="14603" width="18" style="1" customWidth="1"/>
    <col min="14604" max="14605" width="14.5" style="1" customWidth="1"/>
    <col min="14606" max="14606" width="20.1640625" style="1" customWidth="1"/>
    <col min="14607" max="14609" width="14.5" style="1" customWidth="1"/>
    <col min="14610" max="14848" width="14.5" style="1"/>
    <col min="14849" max="14849" width="7.83203125" style="1" customWidth="1"/>
    <col min="14850" max="14850" width="41.6640625" style="1" customWidth="1"/>
    <col min="14851" max="14851" width="15.6640625" style="1" bestFit="1" customWidth="1"/>
    <col min="14852" max="14858" width="14.5" style="1" customWidth="1"/>
    <col min="14859" max="14859" width="18" style="1" customWidth="1"/>
    <col min="14860" max="14861" width="14.5" style="1" customWidth="1"/>
    <col min="14862" max="14862" width="20.1640625" style="1" customWidth="1"/>
    <col min="14863" max="14865" width="14.5" style="1" customWidth="1"/>
    <col min="14866" max="15104" width="14.5" style="1"/>
    <col min="15105" max="15105" width="7.83203125" style="1" customWidth="1"/>
    <col min="15106" max="15106" width="41.6640625" style="1" customWidth="1"/>
    <col min="15107" max="15107" width="15.6640625" style="1" bestFit="1" customWidth="1"/>
    <col min="15108" max="15114" width="14.5" style="1" customWidth="1"/>
    <col min="15115" max="15115" width="18" style="1" customWidth="1"/>
    <col min="15116" max="15117" width="14.5" style="1" customWidth="1"/>
    <col min="15118" max="15118" width="20.1640625" style="1" customWidth="1"/>
    <col min="15119" max="15121" width="14.5" style="1" customWidth="1"/>
    <col min="15122" max="15360" width="14.5" style="1"/>
    <col min="15361" max="15361" width="7.83203125" style="1" customWidth="1"/>
    <col min="15362" max="15362" width="41.6640625" style="1" customWidth="1"/>
    <col min="15363" max="15363" width="15.6640625" style="1" bestFit="1" customWidth="1"/>
    <col min="15364" max="15370" width="14.5" style="1" customWidth="1"/>
    <col min="15371" max="15371" width="18" style="1" customWidth="1"/>
    <col min="15372" max="15373" width="14.5" style="1" customWidth="1"/>
    <col min="15374" max="15374" width="20.1640625" style="1" customWidth="1"/>
    <col min="15375" max="15377" width="14.5" style="1" customWidth="1"/>
    <col min="15378" max="15616" width="14.5" style="1"/>
    <col min="15617" max="15617" width="7.83203125" style="1" customWidth="1"/>
    <col min="15618" max="15618" width="41.6640625" style="1" customWidth="1"/>
    <col min="15619" max="15619" width="15.6640625" style="1" bestFit="1" customWidth="1"/>
    <col min="15620" max="15626" width="14.5" style="1" customWidth="1"/>
    <col min="15627" max="15627" width="18" style="1" customWidth="1"/>
    <col min="15628" max="15629" width="14.5" style="1" customWidth="1"/>
    <col min="15630" max="15630" width="20.1640625" style="1" customWidth="1"/>
    <col min="15631" max="15633" width="14.5" style="1" customWidth="1"/>
    <col min="15634" max="15872" width="14.5" style="1"/>
    <col min="15873" max="15873" width="7.83203125" style="1" customWidth="1"/>
    <col min="15874" max="15874" width="41.6640625" style="1" customWidth="1"/>
    <col min="15875" max="15875" width="15.6640625" style="1" bestFit="1" customWidth="1"/>
    <col min="15876" max="15882" width="14.5" style="1" customWidth="1"/>
    <col min="15883" max="15883" width="18" style="1" customWidth="1"/>
    <col min="15884" max="15885" width="14.5" style="1" customWidth="1"/>
    <col min="15886" max="15886" width="20.1640625" style="1" customWidth="1"/>
    <col min="15887" max="15889" width="14.5" style="1" customWidth="1"/>
    <col min="15890" max="16128" width="14.5" style="1"/>
    <col min="16129" max="16129" width="7.83203125" style="1" customWidth="1"/>
    <col min="16130" max="16130" width="41.6640625" style="1" customWidth="1"/>
    <col min="16131" max="16131" width="15.6640625" style="1" bestFit="1" customWidth="1"/>
    <col min="16132" max="16138" width="14.5" style="1" customWidth="1"/>
    <col min="16139" max="16139" width="18" style="1" customWidth="1"/>
    <col min="16140" max="16141" width="14.5" style="1" customWidth="1"/>
    <col min="16142" max="16142" width="20.1640625" style="1" customWidth="1"/>
    <col min="16143" max="16145" width="14.5" style="1" customWidth="1"/>
    <col min="16146" max="16384" width="14.5" style="1"/>
  </cols>
  <sheetData>
    <row r="1" spans="1:21" x14ac:dyDescent="0.1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1" x14ac:dyDescent="0.1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21" x14ac:dyDescent="0.15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21" x14ac:dyDescent="0.1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1:21" ht="9" customHeight="1" thickBot="1" x14ac:dyDescent="0.2">
      <c r="A5" s="142" t="s">
        <v>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21" s="11" customFormat="1" ht="72.5" customHeight="1" thickBot="1" x14ac:dyDescent="0.2">
      <c r="A6" s="2" t="s">
        <v>5</v>
      </c>
      <c r="B6" s="3" t="s">
        <v>6</v>
      </c>
      <c r="C6" s="4" t="s">
        <v>7</v>
      </c>
      <c r="D6" s="5" t="s">
        <v>8</v>
      </c>
      <c r="E6" s="5" t="s">
        <v>9</v>
      </c>
      <c r="F6" s="6" t="s">
        <v>10</v>
      </c>
      <c r="G6" s="7" t="s">
        <v>11</v>
      </c>
      <c r="H6" s="4" t="s">
        <v>12</v>
      </c>
      <c r="I6" s="4" t="s">
        <v>13</v>
      </c>
      <c r="J6" s="4" t="s">
        <v>14</v>
      </c>
      <c r="K6" s="8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8" t="s">
        <v>20</v>
      </c>
      <c r="Q6" s="9" t="s">
        <v>21</v>
      </c>
      <c r="R6" s="9" t="s">
        <v>22</v>
      </c>
      <c r="S6" s="10" t="s">
        <v>23</v>
      </c>
    </row>
    <row r="7" spans="1:21" s="11" customFormat="1" ht="16.5" customHeight="1" thickBot="1" x14ac:dyDescent="0.2">
      <c r="A7" s="138" t="s">
        <v>24</v>
      </c>
      <c r="B7" s="139"/>
      <c r="C7" s="12">
        <f>C8+C100</f>
        <v>1939718</v>
      </c>
      <c r="D7" s="12">
        <f>D8+D102</f>
        <v>0</v>
      </c>
      <c r="E7" s="12">
        <f>E8+E102</f>
        <v>1939718</v>
      </c>
      <c r="F7" s="12">
        <f>F8+F100</f>
        <v>388813</v>
      </c>
      <c r="G7" s="12">
        <f t="shared" ref="G7:P7" si="0">G8+G100</f>
        <v>2328531</v>
      </c>
      <c r="H7" s="12">
        <f>H8+H100</f>
        <v>2082836</v>
      </c>
      <c r="I7" s="12">
        <f t="shared" si="0"/>
        <v>77306.5</v>
      </c>
      <c r="J7" s="12">
        <f>J8+J100</f>
        <v>1557963.9599999997</v>
      </c>
      <c r="K7" s="12">
        <f t="shared" si="0"/>
        <v>1667366.5599999998</v>
      </c>
      <c r="L7" s="12">
        <f>L8+L100</f>
        <v>492775.94000000018</v>
      </c>
      <c r="M7" s="12">
        <f t="shared" si="0"/>
        <v>245695</v>
      </c>
      <c r="N7" s="12">
        <f t="shared" si="0"/>
        <v>661164.44000000018</v>
      </c>
      <c r="O7" s="12">
        <f t="shared" si="0"/>
        <v>1314823.8600000001</v>
      </c>
      <c r="P7" s="12">
        <f t="shared" si="0"/>
        <v>352542.69999999972</v>
      </c>
      <c r="Q7" s="13">
        <f t="shared" ref="Q7:Q52" si="1">SUM(K7/H7*100%)</f>
        <v>0.80052705061752338</v>
      </c>
      <c r="R7" s="13">
        <f t="shared" ref="R7:R70" si="2">SUM(J7/G7*100%)</f>
        <v>0.66907589377165244</v>
      </c>
      <c r="S7" s="13">
        <f t="shared" ref="S7:S70" si="3">SUM(K7/G7*100%)</f>
        <v>0.71605942115436716</v>
      </c>
    </row>
    <row r="8" spans="1:21" s="11" customFormat="1" ht="16.5" customHeight="1" thickBot="1" x14ac:dyDescent="0.2">
      <c r="A8" s="138" t="s">
        <v>25</v>
      </c>
      <c r="B8" s="139"/>
      <c r="C8" s="12">
        <f>C9+C20+C53+C86+C94</f>
        <v>1939718</v>
      </c>
      <c r="D8" s="12">
        <f>D9+D20+D53+D86+D94+D100</f>
        <v>0</v>
      </c>
      <c r="E8" s="12">
        <f>E9+E20+E53+E86+E94+E100</f>
        <v>1939718</v>
      </c>
      <c r="F8" s="12">
        <f t="shared" ref="F8:P8" si="4">F9+F20+F53+F86+F94</f>
        <v>288813</v>
      </c>
      <c r="G8" s="12">
        <f t="shared" si="4"/>
        <v>2228531</v>
      </c>
      <c r="H8" s="12">
        <f t="shared" si="4"/>
        <v>1982836</v>
      </c>
      <c r="I8" s="12">
        <f t="shared" si="4"/>
        <v>77306.5</v>
      </c>
      <c r="J8" s="12">
        <f>J9+J20+J53+J86+J94</f>
        <v>1469343.4899999998</v>
      </c>
      <c r="K8" s="12">
        <f>K9+K20+K53+K86+K94</f>
        <v>1578746.0899999999</v>
      </c>
      <c r="L8" s="12">
        <f t="shared" si="4"/>
        <v>481396.41000000021</v>
      </c>
      <c r="M8" s="12">
        <f t="shared" si="4"/>
        <v>245695</v>
      </c>
      <c r="N8" s="12">
        <f t="shared" si="4"/>
        <v>649784.91000000015</v>
      </c>
      <c r="O8" s="12">
        <f t="shared" si="4"/>
        <v>1256985.8700000001</v>
      </c>
      <c r="P8" s="12">
        <f t="shared" si="4"/>
        <v>321760.21999999974</v>
      </c>
      <c r="Q8" s="13">
        <f t="shared" si="1"/>
        <v>0.79620608562684958</v>
      </c>
      <c r="R8" s="13">
        <f t="shared" si="2"/>
        <v>0.65933275776733635</v>
      </c>
      <c r="S8" s="13">
        <f t="shared" si="3"/>
        <v>0.70842455859936426</v>
      </c>
      <c r="U8" s="14"/>
    </row>
    <row r="9" spans="1:21" s="11" customFormat="1" ht="14" thickBot="1" x14ac:dyDescent="0.2">
      <c r="A9" s="15">
        <v>0</v>
      </c>
      <c r="B9" s="16" t="s">
        <v>26</v>
      </c>
      <c r="C9" s="17">
        <f>SUM(C10:C19)</f>
        <v>1412126</v>
      </c>
      <c r="D9" s="17">
        <f>SUM(D10:D19)</f>
        <v>0</v>
      </c>
      <c r="E9" s="17">
        <f>SUM(E10:E19)</f>
        <v>1412126</v>
      </c>
      <c r="F9" s="18">
        <f t="shared" ref="F9:N9" si="5">SUM(F10:F19)</f>
        <v>205292</v>
      </c>
      <c r="G9" s="19">
        <f t="shared" si="5"/>
        <v>1617418</v>
      </c>
      <c r="H9" s="17">
        <f t="shared" si="5"/>
        <v>1376840</v>
      </c>
      <c r="I9" s="17">
        <f t="shared" si="5"/>
        <v>0</v>
      </c>
      <c r="J9" s="17">
        <f>SUM(J10:J19)</f>
        <v>1117349.8099999998</v>
      </c>
      <c r="K9" s="20">
        <f t="shared" si="5"/>
        <v>1144138.1399999999</v>
      </c>
      <c r="L9" s="17">
        <f>SUM(L10:L19)</f>
        <v>232701.86000000013</v>
      </c>
      <c r="M9" s="17">
        <f t="shared" si="5"/>
        <v>240578</v>
      </c>
      <c r="N9" s="17">
        <f t="shared" si="5"/>
        <v>473279.86000000016</v>
      </c>
      <c r="O9" s="17">
        <f>SUM(O10:O19)</f>
        <v>1050100.23</v>
      </c>
      <c r="P9" s="19">
        <f>SUM(P10:P19)</f>
        <v>94037.909999999829</v>
      </c>
      <c r="Q9" s="21">
        <f t="shared" si="1"/>
        <v>0.83098845181720449</v>
      </c>
      <c r="R9" s="21">
        <f t="shared" si="2"/>
        <v>0.69082315765003222</v>
      </c>
      <c r="S9" s="21">
        <f t="shared" si="3"/>
        <v>0.70738556143186238</v>
      </c>
    </row>
    <row r="10" spans="1:21" x14ac:dyDescent="0.15">
      <c r="A10" s="22">
        <v>1</v>
      </c>
      <c r="B10" s="23" t="s">
        <v>27</v>
      </c>
      <c r="C10" s="24">
        <v>1133760</v>
      </c>
      <c r="D10" s="25">
        <v>0</v>
      </c>
      <c r="E10" s="26">
        <v>1133760</v>
      </c>
      <c r="F10" s="27">
        <f>54240-15727+121500</f>
        <v>160013</v>
      </c>
      <c r="G10" s="28">
        <f t="shared" ref="G10:G19" si="6">SUM(E10+F10)</f>
        <v>1293773</v>
      </c>
      <c r="H10" s="25">
        <f>(94480+94480-7800+91842+159158+78753+115064-20584+215980+94480+94480+94480)</f>
        <v>1104813</v>
      </c>
      <c r="I10" s="25">
        <v>0</v>
      </c>
      <c r="J10" s="25">
        <f>SUM(86500+161500+87683.34+87071.67+92350+97033.33+94950+105553.33+106430)</f>
        <v>919071.66999999993</v>
      </c>
      <c r="K10" s="29">
        <f>343930+86233.34+97880+97880+115180+94103.33+106153.33</f>
        <v>941359.99999999988</v>
      </c>
      <c r="L10" s="30">
        <f t="shared" ref="L10:L19" si="7">SUM(H10-K10)</f>
        <v>163453.00000000012</v>
      </c>
      <c r="M10" s="30">
        <f t="shared" ref="M10:M19" si="8">SUM(G10-H10)</f>
        <v>188960</v>
      </c>
      <c r="N10" s="30">
        <f t="shared" ref="N10:N19" si="9">SUM(-I10+L10+M10)</f>
        <v>352413.00000000012</v>
      </c>
      <c r="O10" s="25">
        <f>15757.23+65198.07+201295.9+311943+62177.95+136824+0.06+86895-0.33</f>
        <v>880090.88</v>
      </c>
      <c r="P10" s="31">
        <f t="shared" ref="P10:P36" si="10">SUM(K10-O10)</f>
        <v>61269.119999999879</v>
      </c>
      <c r="Q10" s="32">
        <f t="shared" si="1"/>
        <v>0.85205369596483738</v>
      </c>
      <c r="R10" s="32">
        <f t="shared" si="2"/>
        <v>0.71038093235830391</v>
      </c>
      <c r="S10" s="32">
        <f t="shared" si="3"/>
        <v>0.72760832077961113</v>
      </c>
    </row>
    <row r="11" spans="1:21" x14ac:dyDescent="0.15">
      <c r="A11" s="22" t="s">
        <v>28</v>
      </c>
      <c r="B11" s="23" t="s">
        <v>29</v>
      </c>
      <c r="C11" s="24">
        <v>54000</v>
      </c>
      <c r="D11" s="25">
        <v>0</v>
      </c>
      <c r="E11" s="26">
        <v>54000</v>
      </c>
      <c r="F11" s="27">
        <v>-3000</v>
      </c>
      <c r="G11" s="28">
        <f t="shared" si="6"/>
        <v>51000</v>
      </c>
      <c r="H11" s="25">
        <f>(4500+4500-1500+4500+3000+4500+4500+4500+4500+4500+4500)</f>
        <v>42000</v>
      </c>
      <c r="I11" s="25">
        <v>0</v>
      </c>
      <c r="J11" s="25">
        <f>SUM(3000+6000+3000+3000+3000+3000+3000+3000+3000)</f>
        <v>30000</v>
      </c>
      <c r="K11" s="29">
        <f>13500+3000+4500+4500+4500+1500+3000</f>
        <v>34500</v>
      </c>
      <c r="L11" s="30">
        <f t="shared" si="7"/>
        <v>7500</v>
      </c>
      <c r="M11" s="30">
        <f t="shared" si="8"/>
        <v>9000</v>
      </c>
      <c r="N11" s="30">
        <f t="shared" si="9"/>
        <v>16500</v>
      </c>
      <c r="O11" s="33">
        <f>638.34+1276.68+8361.66+10084.98+1819.17+4181-0.17+2362-0.34</f>
        <v>28723.320000000003</v>
      </c>
      <c r="P11" s="31">
        <f t="shared" si="10"/>
        <v>5776.6799999999967</v>
      </c>
      <c r="Q11" s="32">
        <f t="shared" si="1"/>
        <v>0.8214285714285714</v>
      </c>
      <c r="R11" s="32">
        <f t="shared" si="2"/>
        <v>0.58823529411764708</v>
      </c>
      <c r="S11" s="32">
        <f t="shared" si="3"/>
        <v>0.67647058823529416</v>
      </c>
    </row>
    <row r="12" spans="1:21" x14ac:dyDescent="0.15">
      <c r="A12" s="34" t="s">
        <v>30</v>
      </c>
      <c r="B12" s="23" t="s">
        <v>31</v>
      </c>
      <c r="C12" s="24">
        <v>31350</v>
      </c>
      <c r="D12" s="25">
        <v>0</v>
      </c>
      <c r="E12" s="26">
        <v>31350</v>
      </c>
      <c r="F12" s="27">
        <f>1170+5500</f>
        <v>6670</v>
      </c>
      <c r="G12" s="28">
        <f t="shared" si="6"/>
        <v>38020</v>
      </c>
      <c r="H12" s="25">
        <f>(10404+23+1193+15950)</f>
        <v>27570</v>
      </c>
      <c r="I12" s="25">
        <v>0</v>
      </c>
      <c r="J12" s="24">
        <f>SUM(9367+138.65+62.65+10068-0.12)</f>
        <v>19636.18</v>
      </c>
      <c r="K12" s="29">
        <f>9505.65+62.65+10067.88</f>
        <v>19636.18</v>
      </c>
      <c r="L12" s="30">
        <f t="shared" si="7"/>
        <v>7933.82</v>
      </c>
      <c r="M12" s="30">
        <f t="shared" si="8"/>
        <v>10450</v>
      </c>
      <c r="N12" s="30">
        <f t="shared" si="9"/>
        <v>18383.82</v>
      </c>
      <c r="O12" s="33">
        <f>8687.63+10+9274.34+725-0.13</f>
        <v>18696.84</v>
      </c>
      <c r="P12" s="31">
        <f t="shared" si="10"/>
        <v>939.34000000000015</v>
      </c>
      <c r="Q12" s="32">
        <f t="shared" si="1"/>
        <v>0.7122299601015597</v>
      </c>
      <c r="R12" s="32">
        <f t="shared" si="2"/>
        <v>0.51646975276170437</v>
      </c>
      <c r="S12" s="32">
        <f t="shared" si="3"/>
        <v>0.51646975276170437</v>
      </c>
    </row>
    <row r="13" spans="1:21" x14ac:dyDescent="0.15">
      <c r="A13" s="22" t="s">
        <v>32</v>
      </c>
      <c r="B13" s="23" t="s">
        <v>33</v>
      </c>
      <c r="C13" s="24">
        <v>153281</v>
      </c>
      <c r="D13" s="25">
        <v>0</v>
      </c>
      <c r="E13" s="26">
        <v>153281</v>
      </c>
      <c r="F13" s="27">
        <f>5444+15561</f>
        <v>21005</v>
      </c>
      <c r="G13" s="28">
        <f t="shared" si="6"/>
        <v>174286</v>
      </c>
      <c r="H13" s="25">
        <f>(12774+12774-3823+12774+22041+12774+12773+28334+12773+25546)</f>
        <v>148740</v>
      </c>
      <c r="I13" s="25">
        <v>0</v>
      </c>
      <c r="J13" s="25">
        <f>SUM(22100+9827.33+11108.71+11178.03+11687.13+12261.48+13073.83+13298-0.2)</f>
        <v>104534.31</v>
      </c>
      <c r="K13" s="29">
        <f>31927.33+11108.71+11178.03+11687.13+12261.48+13073.83+13297.8</f>
        <v>104534.31</v>
      </c>
      <c r="L13" s="30">
        <f t="shared" si="7"/>
        <v>44205.69</v>
      </c>
      <c r="M13" s="30">
        <f t="shared" si="8"/>
        <v>25546</v>
      </c>
      <c r="N13" s="30">
        <f t="shared" si="9"/>
        <v>69751.69</v>
      </c>
      <c r="O13" s="33">
        <f>10902.52+21009.86+22142.48+11839.6+12254.09+13074-0.17</f>
        <v>91222.38</v>
      </c>
      <c r="P13" s="31">
        <f t="shared" si="10"/>
        <v>13311.929999999993</v>
      </c>
      <c r="Q13" s="32">
        <f t="shared" si="1"/>
        <v>0.70279891085114965</v>
      </c>
      <c r="R13" s="32">
        <f t="shared" si="2"/>
        <v>0.59978604133435842</v>
      </c>
      <c r="S13" s="32">
        <f t="shared" si="3"/>
        <v>0.59978604133435842</v>
      </c>
    </row>
    <row r="14" spans="1:21" x14ac:dyDescent="0.15">
      <c r="A14" s="22" t="s">
        <v>34</v>
      </c>
      <c r="B14" s="23" t="s">
        <v>35</v>
      </c>
      <c r="C14" s="24">
        <v>17546</v>
      </c>
      <c r="D14" s="25">
        <v>0</v>
      </c>
      <c r="E14" s="26">
        <v>17546</v>
      </c>
      <c r="F14" s="27">
        <f>1094+1825</f>
        <v>2919</v>
      </c>
      <c r="G14" s="28">
        <f t="shared" si="6"/>
        <v>20465</v>
      </c>
      <c r="H14" s="25">
        <f>(1463+1463+1462+2556+1462+1462+3287+1462+1462+1462)</f>
        <v>17541</v>
      </c>
      <c r="I14" s="25">
        <v>0</v>
      </c>
      <c r="J14" s="25">
        <f>SUM(2495+1156.72+1315.3+1323.75+1385.25+1455.5+1424.25+1583.31)</f>
        <v>12139.08</v>
      </c>
      <c r="K14" s="29">
        <f>3651.77+1315.25+1323.75+1385.25+1455.5+1424.25+1583.31</f>
        <v>12139.08</v>
      </c>
      <c r="L14" s="30">
        <f t="shared" si="7"/>
        <v>5401.92</v>
      </c>
      <c r="M14" s="30">
        <f t="shared" si="8"/>
        <v>2924</v>
      </c>
      <c r="N14" s="30">
        <f t="shared" si="9"/>
        <v>8325.92</v>
      </c>
      <c r="O14" s="33">
        <f>1290+2361.77+2621.33+1402.92+1455.5+1424+0.25</f>
        <v>10555.77</v>
      </c>
      <c r="P14" s="31">
        <f t="shared" si="10"/>
        <v>1583.3099999999995</v>
      </c>
      <c r="Q14" s="32">
        <f t="shared" si="1"/>
        <v>0.6920403625791004</v>
      </c>
      <c r="R14" s="32">
        <f t="shared" si="2"/>
        <v>0.59316296115318834</v>
      </c>
      <c r="S14" s="32">
        <f t="shared" si="3"/>
        <v>0.59316296115318834</v>
      </c>
    </row>
    <row r="15" spans="1:21" x14ac:dyDescent="0.15">
      <c r="A15" s="22" t="s">
        <v>36</v>
      </c>
      <c r="B15" s="23" t="s">
        <v>37</v>
      </c>
      <c r="C15" s="24">
        <v>18680</v>
      </c>
      <c r="D15" s="25">
        <v>0</v>
      </c>
      <c r="E15" s="26">
        <v>18680</v>
      </c>
      <c r="F15" s="27">
        <f>832+1825</f>
        <v>2657</v>
      </c>
      <c r="G15" s="28">
        <f t="shared" si="6"/>
        <v>21337</v>
      </c>
      <c r="H15" s="25">
        <f>(1556+1556-262+1556+2650+1557+1557+3382+1157+400+1557+1557)</f>
        <v>18223</v>
      </c>
      <c r="I15" s="25">
        <v>0</v>
      </c>
      <c r="J15" s="25">
        <f>SUM(3619+1682.45+1904.35+1916.24+2002.35+2100.7+2056.95+2280-0.38)</f>
        <v>17561.66</v>
      </c>
      <c r="K15" s="29">
        <f>5301.45+1904.35+1916.24+2002.35+2100.7+2056.95+2279.62</f>
        <v>17561.66</v>
      </c>
      <c r="L15" s="30">
        <f t="shared" si="7"/>
        <v>661.34000000000015</v>
      </c>
      <c r="M15" s="30">
        <f t="shared" si="8"/>
        <v>3114</v>
      </c>
      <c r="N15" s="30">
        <f t="shared" si="9"/>
        <v>3775.34</v>
      </c>
      <c r="O15" s="33">
        <f>1869+3432.45+3795.86+2027.08+2100.7+2056.95</f>
        <v>15282.04</v>
      </c>
      <c r="P15" s="31">
        <f t="shared" si="10"/>
        <v>2279.619999999999</v>
      </c>
      <c r="Q15" s="32">
        <f t="shared" si="1"/>
        <v>0.96370850024694066</v>
      </c>
      <c r="R15" s="32">
        <f t="shared" si="2"/>
        <v>0.82306134883066973</v>
      </c>
      <c r="S15" s="32">
        <f t="shared" si="3"/>
        <v>0.82306134883066973</v>
      </c>
    </row>
    <row r="16" spans="1:21" x14ac:dyDescent="0.15">
      <c r="A16" s="22" t="s">
        <v>38</v>
      </c>
      <c r="B16" s="23" t="s">
        <v>39</v>
      </c>
      <c r="C16" s="24">
        <v>3509</v>
      </c>
      <c r="D16" s="25">
        <v>0</v>
      </c>
      <c r="E16" s="26">
        <v>3509</v>
      </c>
      <c r="F16" s="27">
        <f>219+370</f>
        <v>589</v>
      </c>
      <c r="G16" s="28">
        <f t="shared" si="6"/>
        <v>4098</v>
      </c>
      <c r="H16" s="25">
        <f>(293+293+293+512+293+292+662+292+292+292)</f>
        <v>3514</v>
      </c>
      <c r="I16" s="25">
        <v>0</v>
      </c>
      <c r="J16" s="25">
        <f>SUM(495+227+236.1+503.7+276.1+277.05+293.05+314-0.35)</f>
        <v>2621.65</v>
      </c>
      <c r="K16" s="29">
        <f>722.15+235.95+503.7+276.1+277.05+293.05+313.65</f>
        <v>2621.65</v>
      </c>
      <c r="L16" s="30">
        <f t="shared" si="7"/>
        <v>892.34999999999991</v>
      </c>
      <c r="M16" s="30">
        <f t="shared" si="8"/>
        <v>584</v>
      </c>
      <c r="N16" s="30">
        <f t="shared" si="9"/>
        <v>1476.35</v>
      </c>
      <c r="O16" s="33">
        <f>480.15+495.35+486.3+276.1+277.05+293+0.05</f>
        <v>2308</v>
      </c>
      <c r="P16" s="31">
        <f t="shared" si="10"/>
        <v>313.65000000000009</v>
      </c>
      <c r="Q16" s="32">
        <f t="shared" si="1"/>
        <v>0.7460586226522482</v>
      </c>
      <c r="R16" s="32">
        <f t="shared" si="2"/>
        <v>0.63973889702293807</v>
      </c>
      <c r="S16" s="32">
        <f t="shared" si="3"/>
        <v>0.63973889702293807</v>
      </c>
    </row>
    <row r="17" spans="1:237" x14ac:dyDescent="0.15">
      <c r="A17" s="34" t="s">
        <v>40</v>
      </c>
      <c r="B17" s="23" t="s">
        <v>41</v>
      </c>
      <c r="C17" s="25">
        <v>0</v>
      </c>
      <c r="D17" s="25">
        <v>0</v>
      </c>
      <c r="E17" s="25">
        <v>0</v>
      </c>
      <c r="F17" s="27">
        <v>11891</v>
      </c>
      <c r="G17" s="28">
        <f t="shared" si="6"/>
        <v>11891</v>
      </c>
      <c r="H17" s="25">
        <f>(2000+2270+7621)</f>
        <v>11891</v>
      </c>
      <c r="I17" s="25">
        <v>0</v>
      </c>
      <c r="J17" s="25">
        <f>SUM(4270+5550)</f>
        <v>9820</v>
      </c>
      <c r="K17" s="29">
        <v>9820</v>
      </c>
      <c r="L17" s="30">
        <f t="shared" si="7"/>
        <v>2071</v>
      </c>
      <c r="M17" s="30">
        <f t="shared" si="8"/>
        <v>0</v>
      </c>
      <c r="N17" s="30">
        <f t="shared" si="9"/>
        <v>2071</v>
      </c>
      <c r="O17" s="33">
        <f>1182.66+285.69</f>
        <v>1468.3500000000001</v>
      </c>
      <c r="P17" s="31">
        <f t="shared" si="10"/>
        <v>8351.65</v>
      </c>
      <c r="Q17" s="32">
        <f t="shared" si="1"/>
        <v>0.82583466487259272</v>
      </c>
      <c r="R17" s="32">
        <f t="shared" si="2"/>
        <v>0.82583466487259272</v>
      </c>
      <c r="S17" s="32">
        <f t="shared" si="3"/>
        <v>0.82583466487259272</v>
      </c>
    </row>
    <row r="18" spans="1:237" x14ac:dyDescent="0.15">
      <c r="A18" s="34" t="s">
        <v>42</v>
      </c>
      <c r="B18" s="23" t="s">
        <v>43</v>
      </c>
      <c r="C18" s="25">
        <v>0</v>
      </c>
      <c r="D18" s="25">
        <v>0</v>
      </c>
      <c r="E18" s="25">
        <v>0</v>
      </c>
      <c r="F18" s="27">
        <v>364</v>
      </c>
      <c r="G18" s="28">
        <f t="shared" si="6"/>
        <v>364</v>
      </c>
      <c r="H18" s="25">
        <f>(23+341)</f>
        <v>364</v>
      </c>
      <c r="I18" s="25">
        <v>0</v>
      </c>
      <c r="J18" s="25">
        <v>108.47</v>
      </c>
      <c r="K18" s="29">
        <v>108.47</v>
      </c>
      <c r="L18" s="30">
        <f t="shared" si="7"/>
        <v>255.53</v>
      </c>
      <c r="M18" s="30">
        <f t="shared" si="8"/>
        <v>0</v>
      </c>
      <c r="N18" s="30">
        <f t="shared" si="9"/>
        <v>255.53</v>
      </c>
      <c r="O18" s="33">
        <v>6.54</v>
      </c>
      <c r="P18" s="31">
        <f t="shared" si="10"/>
        <v>101.92999999999999</v>
      </c>
      <c r="Q18" s="32">
        <f t="shared" si="1"/>
        <v>0.29799450549450551</v>
      </c>
      <c r="R18" s="32">
        <f t="shared" si="2"/>
        <v>0.29799450549450551</v>
      </c>
      <c r="S18" s="32">
        <f t="shared" si="3"/>
        <v>0.29799450549450551</v>
      </c>
    </row>
    <row r="19" spans="1:237" ht="14" thickBot="1" x14ac:dyDescent="0.2">
      <c r="A19" s="35" t="s">
        <v>44</v>
      </c>
      <c r="B19" s="36" t="s">
        <v>45</v>
      </c>
      <c r="C19" s="25">
        <v>0</v>
      </c>
      <c r="D19" s="25">
        <v>0</v>
      </c>
      <c r="E19" s="25">
        <v>0</v>
      </c>
      <c r="F19" s="27">
        <v>2184</v>
      </c>
      <c r="G19" s="28">
        <f t="shared" si="6"/>
        <v>2184</v>
      </c>
      <c r="H19" s="25">
        <f>(585+368+1231)</f>
        <v>2184</v>
      </c>
      <c r="I19" s="25">
        <v>0</v>
      </c>
      <c r="J19" s="25">
        <f>SUM(949+907.79)</f>
        <v>1856.79</v>
      </c>
      <c r="K19" s="29">
        <v>1856.79</v>
      </c>
      <c r="L19" s="30">
        <f t="shared" si="7"/>
        <v>327.21000000000004</v>
      </c>
      <c r="M19" s="30">
        <f t="shared" si="8"/>
        <v>0</v>
      </c>
      <c r="N19" s="30">
        <f t="shared" si="9"/>
        <v>327.21000000000004</v>
      </c>
      <c r="O19" s="33">
        <f>259.2+1148.78+338.13</f>
        <v>1746.1100000000001</v>
      </c>
      <c r="P19" s="31">
        <f t="shared" si="10"/>
        <v>110.67999999999984</v>
      </c>
      <c r="Q19" s="32">
        <f t="shared" si="1"/>
        <v>0.85017857142857145</v>
      </c>
      <c r="R19" s="32">
        <f t="shared" si="2"/>
        <v>0.85017857142857145</v>
      </c>
      <c r="S19" s="32">
        <f t="shared" si="3"/>
        <v>0.85017857142857145</v>
      </c>
    </row>
    <row r="20" spans="1:237" s="11" customFormat="1" ht="14" thickBot="1" x14ac:dyDescent="0.2">
      <c r="A20" s="37">
        <v>1</v>
      </c>
      <c r="B20" s="38" t="s">
        <v>46</v>
      </c>
      <c r="C20" s="39">
        <f>SUM(C21:C51)</f>
        <v>472457</v>
      </c>
      <c r="D20" s="39">
        <f>SUM(D21:D52)</f>
        <v>0</v>
      </c>
      <c r="E20" s="39">
        <f>SUM(E21:E52)</f>
        <v>472457</v>
      </c>
      <c r="F20" s="40">
        <f>SUM(F21:F52)</f>
        <v>-55641</v>
      </c>
      <c r="G20" s="41">
        <f>SUM(G21:G52)</f>
        <v>416816</v>
      </c>
      <c r="H20" s="39">
        <f t="shared" ref="H20:N20" si="11">SUM(H21:H52)</f>
        <v>411699</v>
      </c>
      <c r="I20" s="39">
        <f t="shared" si="11"/>
        <v>77306.5</v>
      </c>
      <c r="J20" s="39">
        <f t="shared" si="11"/>
        <v>212132.48999999996</v>
      </c>
      <c r="K20" s="39">
        <f>SUM(K21:K52)</f>
        <v>290051.91999999993</v>
      </c>
      <c r="L20" s="39">
        <f t="shared" si="11"/>
        <v>198953.58000000007</v>
      </c>
      <c r="M20" s="39">
        <f t="shared" si="11"/>
        <v>5117</v>
      </c>
      <c r="N20" s="39">
        <f t="shared" si="11"/>
        <v>126764.08000000002</v>
      </c>
      <c r="O20" s="39">
        <f>SUM(O21:O52)</f>
        <v>145540.22999999998</v>
      </c>
      <c r="P20" s="42">
        <f t="shared" si="10"/>
        <v>144511.68999999994</v>
      </c>
      <c r="Q20" s="43">
        <f t="shared" si="1"/>
        <v>0.70452422765175515</v>
      </c>
      <c r="R20" s="44">
        <f t="shared" si="2"/>
        <v>0.50893557349046092</v>
      </c>
      <c r="S20" s="44">
        <f t="shared" si="3"/>
        <v>0.6958752063260526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</row>
    <row r="21" spans="1:237" x14ac:dyDescent="0.15">
      <c r="A21" s="46">
        <v>101</v>
      </c>
      <c r="B21" s="23" t="s">
        <v>47</v>
      </c>
      <c r="C21" s="24">
        <v>170013</v>
      </c>
      <c r="D21" s="25">
        <v>0</v>
      </c>
      <c r="E21" s="26">
        <v>170013</v>
      </c>
      <c r="F21" s="27">
        <f>45130-66425-13085</f>
        <v>-34380</v>
      </c>
      <c r="G21" s="28">
        <f t="shared" ref="G21:G37" si="12">SUM(E21+F21)</f>
        <v>135633</v>
      </c>
      <c r="H21" s="25">
        <f>SUM(110922-1726+54856-15334-13085)</f>
        <v>135633</v>
      </c>
      <c r="I21" s="47">
        <v>77306.5</v>
      </c>
      <c r="J21" s="25">
        <f>47376+7221+3610.5</f>
        <v>58207.5</v>
      </c>
      <c r="K21" s="48">
        <f>(109194+26320+28538-28538)</f>
        <v>135514</v>
      </c>
      <c r="L21" s="30">
        <f>SUM(H21+I21-K21)</f>
        <v>77425.5</v>
      </c>
      <c r="M21" s="30">
        <f t="shared" ref="M21:M36" si="13">SUM(G21-H21)</f>
        <v>0</v>
      </c>
      <c r="N21" s="30">
        <f t="shared" ref="N21:N52" si="14">SUM(-I21+L21+M21)</f>
        <v>119</v>
      </c>
      <c r="O21" s="25">
        <f>47376+7221+1203.5</f>
        <v>55800.5</v>
      </c>
      <c r="P21" s="31">
        <f t="shared" si="10"/>
        <v>79713.5</v>
      </c>
      <c r="Q21" s="32">
        <f t="shared" si="1"/>
        <v>0.99912263239772037</v>
      </c>
      <c r="R21" s="32">
        <f t="shared" si="2"/>
        <v>0.42915440932516424</v>
      </c>
      <c r="S21" s="32">
        <f t="shared" si="3"/>
        <v>0.99912263239772037</v>
      </c>
    </row>
    <row r="22" spans="1:237" x14ac:dyDescent="0.15">
      <c r="A22" s="22" t="s">
        <v>48</v>
      </c>
      <c r="B22" s="23" t="s">
        <v>49</v>
      </c>
      <c r="C22" s="25">
        <v>0</v>
      </c>
      <c r="D22" s="25">
        <v>0</v>
      </c>
      <c r="E22" s="25">
        <v>0</v>
      </c>
      <c r="F22" s="27">
        <f>SUM(3737-15+4000-2700-1555)</f>
        <v>3467</v>
      </c>
      <c r="G22" s="28">
        <f t="shared" si="12"/>
        <v>3467</v>
      </c>
      <c r="H22" s="25">
        <f>SUM(3737-15+4000-2700-1555)</f>
        <v>3467</v>
      </c>
      <c r="I22" s="25">
        <v>0</v>
      </c>
      <c r="J22" s="25">
        <f>3467-0.2</f>
        <v>3466.8</v>
      </c>
      <c r="K22" s="48">
        <f>(2311.2+1155.6)</f>
        <v>3466.7999999999997</v>
      </c>
      <c r="L22" s="30">
        <f t="shared" ref="L22:L52" si="15">SUM(H22-K22)</f>
        <v>0.20000000000027285</v>
      </c>
      <c r="M22" s="30">
        <f t="shared" si="13"/>
        <v>0</v>
      </c>
      <c r="N22" s="30">
        <f t="shared" si="14"/>
        <v>0.20000000000027285</v>
      </c>
      <c r="O22" s="33">
        <f>577.8+321+642+321+128.4+513.6</f>
        <v>2503.8000000000002</v>
      </c>
      <c r="P22" s="31">
        <f t="shared" si="10"/>
        <v>962.99999999999955</v>
      </c>
      <c r="Q22" s="32">
        <f t="shared" si="1"/>
        <v>0.99994231323911154</v>
      </c>
      <c r="R22" s="32">
        <f t="shared" si="2"/>
        <v>0.99994231323911165</v>
      </c>
      <c r="S22" s="32">
        <f t="shared" si="3"/>
        <v>0.99994231323911154</v>
      </c>
    </row>
    <row r="23" spans="1:237" x14ac:dyDescent="0.15">
      <c r="A23" s="22">
        <v>109</v>
      </c>
      <c r="B23" s="23" t="s">
        <v>50</v>
      </c>
      <c r="C23" s="25">
        <v>0</v>
      </c>
      <c r="D23" s="25">
        <v>0</v>
      </c>
      <c r="E23" s="25">
        <v>0</v>
      </c>
      <c r="F23" s="27">
        <f>-1000+1000</f>
        <v>0</v>
      </c>
      <c r="G23" s="28">
        <f t="shared" si="12"/>
        <v>0</v>
      </c>
      <c r="H23" s="25">
        <f>SUM(1000-1000)</f>
        <v>0</v>
      </c>
      <c r="I23" s="25">
        <v>0</v>
      </c>
      <c r="J23" s="25">
        <v>0</v>
      </c>
      <c r="K23" s="48">
        <v>0</v>
      </c>
      <c r="L23" s="30">
        <f t="shared" si="15"/>
        <v>0</v>
      </c>
      <c r="M23" s="30">
        <f t="shared" si="13"/>
        <v>0</v>
      </c>
      <c r="N23" s="30">
        <f t="shared" si="14"/>
        <v>0</v>
      </c>
      <c r="O23" s="33">
        <v>0</v>
      </c>
      <c r="P23" s="31">
        <f t="shared" si="10"/>
        <v>0</v>
      </c>
      <c r="Q23" s="32">
        <v>0</v>
      </c>
      <c r="R23" s="32">
        <v>0</v>
      </c>
      <c r="S23" s="32">
        <v>0</v>
      </c>
    </row>
    <row r="24" spans="1:237" x14ac:dyDescent="0.15">
      <c r="A24" s="34">
        <v>111</v>
      </c>
      <c r="B24" s="23" t="s">
        <v>51</v>
      </c>
      <c r="C24" s="24">
        <v>4530</v>
      </c>
      <c r="D24" s="25">
        <v>0</v>
      </c>
      <c r="E24" s="26">
        <v>4530</v>
      </c>
      <c r="F24" s="27">
        <v>500</v>
      </c>
      <c r="G24" s="28">
        <f t="shared" si="12"/>
        <v>5030</v>
      </c>
      <c r="H24" s="25">
        <f>(377.5+377.5+377.5+877+378+377.5+377.5+377.5+377.5+377.5)</f>
        <v>4275</v>
      </c>
      <c r="I24" s="25">
        <v>0</v>
      </c>
      <c r="J24" s="24">
        <f>70.04+25.55</f>
        <v>95.59</v>
      </c>
      <c r="K24" s="48">
        <f>70.04+25.55+25.55</f>
        <v>121.14</v>
      </c>
      <c r="L24" s="30">
        <f t="shared" si="15"/>
        <v>4153.8599999999997</v>
      </c>
      <c r="M24" s="30">
        <f t="shared" si="13"/>
        <v>755</v>
      </c>
      <c r="N24" s="30">
        <f t="shared" si="14"/>
        <v>4908.8599999999997</v>
      </c>
      <c r="O24" s="33">
        <f>70.04+25.55</f>
        <v>95.59</v>
      </c>
      <c r="P24" s="31">
        <f t="shared" si="10"/>
        <v>25.549999999999997</v>
      </c>
      <c r="Q24" s="32">
        <f t="shared" si="1"/>
        <v>2.8336842105263157E-2</v>
      </c>
      <c r="R24" s="32">
        <f t="shared" si="2"/>
        <v>1.9003976143141154E-2</v>
      </c>
      <c r="S24" s="32">
        <f t="shared" si="3"/>
        <v>2.4083499005964216E-2</v>
      </c>
    </row>
    <row r="25" spans="1:237" x14ac:dyDescent="0.15">
      <c r="A25" s="22" t="s">
        <v>52</v>
      </c>
      <c r="B25" s="23" t="s">
        <v>53</v>
      </c>
      <c r="C25" s="24">
        <v>2020</v>
      </c>
      <c r="D25" s="25">
        <v>0</v>
      </c>
      <c r="E25" s="26">
        <v>2020</v>
      </c>
      <c r="F25" s="27">
        <v>0</v>
      </c>
      <c r="G25" s="28">
        <f t="shared" si="12"/>
        <v>2020</v>
      </c>
      <c r="H25" s="25">
        <f>(169+169+169+169+169+169+169+169+168+168)</f>
        <v>1688</v>
      </c>
      <c r="I25" s="25">
        <v>0</v>
      </c>
      <c r="J25" s="25">
        <v>0</v>
      </c>
      <c r="K25" s="48">
        <v>0</v>
      </c>
      <c r="L25" s="30">
        <f t="shared" si="15"/>
        <v>1688</v>
      </c>
      <c r="M25" s="30">
        <f t="shared" si="13"/>
        <v>332</v>
      </c>
      <c r="N25" s="30">
        <f t="shared" si="14"/>
        <v>2020</v>
      </c>
      <c r="O25" s="33">
        <v>0</v>
      </c>
      <c r="P25" s="31">
        <f t="shared" si="10"/>
        <v>0</v>
      </c>
      <c r="Q25" s="32">
        <f t="shared" si="1"/>
        <v>0</v>
      </c>
      <c r="R25" s="32">
        <f t="shared" si="2"/>
        <v>0</v>
      </c>
      <c r="S25" s="32">
        <f t="shared" si="3"/>
        <v>0</v>
      </c>
    </row>
    <row r="26" spans="1:237" x14ac:dyDescent="0.15">
      <c r="A26" s="22" t="s">
        <v>54</v>
      </c>
      <c r="B26" s="23" t="s">
        <v>55</v>
      </c>
      <c r="C26" s="24">
        <v>704</v>
      </c>
      <c r="D26" s="25">
        <v>0</v>
      </c>
      <c r="E26" s="26">
        <v>704</v>
      </c>
      <c r="F26" s="27">
        <v>0</v>
      </c>
      <c r="G26" s="28">
        <f t="shared" si="12"/>
        <v>704</v>
      </c>
      <c r="H26" s="25">
        <v>704</v>
      </c>
      <c r="I26" s="25">
        <v>0</v>
      </c>
      <c r="J26" s="25">
        <v>0</v>
      </c>
      <c r="K26" s="48">
        <v>0</v>
      </c>
      <c r="L26" s="30">
        <f t="shared" si="15"/>
        <v>704</v>
      </c>
      <c r="M26" s="30">
        <f t="shared" si="13"/>
        <v>0</v>
      </c>
      <c r="N26" s="30">
        <f t="shared" si="14"/>
        <v>704</v>
      </c>
      <c r="O26" s="33">
        <v>0</v>
      </c>
      <c r="P26" s="31">
        <f t="shared" si="10"/>
        <v>0</v>
      </c>
      <c r="Q26" s="32">
        <f t="shared" si="1"/>
        <v>0</v>
      </c>
      <c r="R26" s="32">
        <f t="shared" si="2"/>
        <v>0</v>
      </c>
      <c r="S26" s="32">
        <f t="shared" si="3"/>
        <v>0</v>
      </c>
    </row>
    <row r="27" spans="1:237" x14ac:dyDescent="0.15">
      <c r="A27" s="22" t="s">
        <v>56</v>
      </c>
      <c r="B27" s="23" t="s">
        <v>57</v>
      </c>
      <c r="C27" s="24">
        <v>48360</v>
      </c>
      <c r="D27" s="25">
        <v>0</v>
      </c>
      <c r="E27" s="26">
        <f>SUM(C27+D27)</f>
        <v>48360</v>
      </c>
      <c r="F27" s="27">
        <f>2000+1000-25000</f>
        <v>-22000</v>
      </c>
      <c r="G27" s="28">
        <f t="shared" si="12"/>
        <v>26360</v>
      </c>
      <c r="H27" s="25">
        <f>SUM(3210+3200+4860+1000+6030+4030)</f>
        <v>22330</v>
      </c>
      <c r="I27" s="25">
        <v>0</v>
      </c>
      <c r="J27" s="24">
        <f>SUM(2714.08+1638.66+1651.01+1610.86+2029.96+1613.9+1840.68+1508.44)</f>
        <v>14607.59</v>
      </c>
      <c r="K27" s="48">
        <f>4352.74+1651.01+1610.86+2029.96+1613.9+1840.68+1508.44</f>
        <v>14607.59</v>
      </c>
      <c r="L27" s="30">
        <f t="shared" si="15"/>
        <v>7722.41</v>
      </c>
      <c r="M27" s="30">
        <f t="shared" si="13"/>
        <v>4030</v>
      </c>
      <c r="N27" s="30">
        <f t="shared" si="14"/>
        <v>11752.41</v>
      </c>
      <c r="O27" s="33">
        <f>2714.08+1638.66+3261.87+2029.96+1613.9+1840.68</f>
        <v>13099.15</v>
      </c>
      <c r="P27" s="31">
        <f t="shared" si="10"/>
        <v>1508.4400000000005</v>
      </c>
      <c r="Q27" s="32">
        <f t="shared" si="1"/>
        <v>0.65416883116883118</v>
      </c>
      <c r="R27" s="32">
        <f t="shared" si="2"/>
        <v>0.55415743550834595</v>
      </c>
      <c r="S27" s="32">
        <f t="shared" si="3"/>
        <v>0.55415743550834595</v>
      </c>
    </row>
    <row r="28" spans="1:237" x14ac:dyDescent="0.15">
      <c r="A28" s="22" t="s">
        <v>58</v>
      </c>
      <c r="B28" s="23" t="s">
        <v>59</v>
      </c>
      <c r="C28" s="24">
        <v>40400</v>
      </c>
      <c r="D28" s="25">
        <v>0</v>
      </c>
      <c r="E28" s="26">
        <f>SUM(C28+D28)</f>
        <v>40400</v>
      </c>
      <c r="F28" s="27">
        <f>500-25000</f>
        <v>-24500</v>
      </c>
      <c r="G28" s="28">
        <f t="shared" si="12"/>
        <v>15900</v>
      </c>
      <c r="H28" s="25">
        <f>SUM(5299+500+5939+795+3367)</f>
        <v>15900</v>
      </c>
      <c r="I28" s="25">
        <v>0</v>
      </c>
      <c r="J28" s="24">
        <f>SUM(3214.4+1430+1418.74+1407.12+1436.44+1590.98+1764.48)</f>
        <v>12262.159999999998</v>
      </c>
      <c r="K28" s="48">
        <f>4644.4+1418.74+1419.4+1424.16+1590.98+1764.48</f>
        <v>12262.159999999998</v>
      </c>
      <c r="L28" s="30">
        <f t="shared" si="15"/>
        <v>3637.840000000002</v>
      </c>
      <c r="M28" s="30">
        <f t="shared" si="13"/>
        <v>0</v>
      </c>
      <c r="N28" s="30">
        <f t="shared" si="14"/>
        <v>3637.840000000002</v>
      </c>
      <c r="O28" s="33">
        <f>3214.4+1430+2825.86+1436.44+1590.98+1764.48</f>
        <v>12262.16</v>
      </c>
      <c r="P28" s="31">
        <f t="shared" si="10"/>
        <v>-1.8189894035458565E-12</v>
      </c>
      <c r="Q28" s="32">
        <f t="shared" si="1"/>
        <v>0.77120503144654073</v>
      </c>
      <c r="R28" s="32">
        <f t="shared" si="2"/>
        <v>0.77120503144654073</v>
      </c>
      <c r="S28" s="32">
        <f t="shared" si="3"/>
        <v>0.77120503144654073</v>
      </c>
    </row>
    <row r="29" spans="1:237" x14ac:dyDescent="0.15">
      <c r="A29" s="34" t="s">
        <v>60</v>
      </c>
      <c r="B29" s="23" t="s">
        <v>61</v>
      </c>
      <c r="C29" s="25">
        <v>29828</v>
      </c>
      <c r="D29" s="25">
        <v>0</v>
      </c>
      <c r="E29" s="26">
        <f>SUM(C29+D29)</f>
        <v>29828</v>
      </c>
      <c r="F29" s="27">
        <f>1000-6773</f>
        <v>-5773</v>
      </c>
      <c r="G29" s="28">
        <f t="shared" si="12"/>
        <v>24055</v>
      </c>
      <c r="H29" s="25">
        <f>SUM(1093+983+21979)</f>
        <v>24055</v>
      </c>
      <c r="I29" s="25">
        <v>0</v>
      </c>
      <c r="J29" s="25">
        <f>SUM(1075.2)</f>
        <v>1075.2</v>
      </c>
      <c r="K29" s="48">
        <v>1075.2</v>
      </c>
      <c r="L29" s="30">
        <f t="shared" si="15"/>
        <v>22979.8</v>
      </c>
      <c r="M29" s="30">
        <f t="shared" si="13"/>
        <v>0</v>
      </c>
      <c r="N29" s="30">
        <f t="shared" si="14"/>
        <v>22979.8</v>
      </c>
      <c r="O29" s="33">
        <f>448+179.2</f>
        <v>627.20000000000005</v>
      </c>
      <c r="P29" s="31">
        <f t="shared" si="10"/>
        <v>448</v>
      </c>
      <c r="Q29" s="32">
        <f t="shared" si="1"/>
        <v>4.4697568073165661E-2</v>
      </c>
      <c r="R29" s="32">
        <f t="shared" si="2"/>
        <v>4.4697568073165661E-2</v>
      </c>
      <c r="S29" s="32">
        <f t="shared" si="3"/>
        <v>4.4697568073165661E-2</v>
      </c>
    </row>
    <row r="30" spans="1:237" x14ac:dyDescent="0.15">
      <c r="A30" s="34">
        <v>117</v>
      </c>
      <c r="B30" s="23" t="s">
        <v>62</v>
      </c>
      <c r="C30" s="25">
        <v>12448</v>
      </c>
      <c r="D30" s="25">
        <v>0</v>
      </c>
      <c r="E30" s="26">
        <f>SUM(C30+D30)</f>
        <v>12448</v>
      </c>
      <c r="F30" s="27">
        <f>-2000-8714</f>
        <v>-10714</v>
      </c>
      <c r="G30" s="28">
        <f t="shared" si="12"/>
        <v>1734</v>
      </c>
      <c r="H30" s="25">
        <f>SUM(3734-2000)</f>
        <v>1734</v>
      </c>
      <c r="I30" s="25">
        <v>0</v>
      </c>
      <c r="J30" s="24">
        <v>1733.4</v>
      </c>
      <c r="K30" s="48">
        <f>(1733.4)</f>
        <v>1733.4</v>
      </c>
      <c r="L30" s="30">
        <f t="shared" si="15"/>
        <v>0.59999999999990905</v>
      </c>
      <c r="M30" s="30">
        <f t="shared" si="13"/>
        <v>0</v>
      </c>
      <c r="N30" s="30">
        <f t="shared" si="14"/>
        <v>0.59999999999990905</v>
      </c>
      <c r="O30" s="33">
        <f>722.25+144.45+144.45+288.9</f>
        <v>1300.0500000000002</v>
      </c>
      <c r="P30" s="31">
        <f t="shared" si="10"/>
        <v>433.34999999999991</v>
      </c>
      <c r="Q30" s="32">
        <f t="shared" si="1"/>
        <v>0.99965397923875443</v>
      </c>
      <c r="R30" s="32">
        <f t="shared" si="2"/>
        <v>0.99965397923875443</v>
      </c>
      <c r="S30" s="32">
        <f t="shared" si="3"/>
        <v>0.99965397923875443</v>
      </c>
    </row>
    <row r="31" spans="1:237" ht="13" x14ac:dyDescent="0.15">
      <c r="A31" s="34" t="s">
        <v>63</v>
      </c>
      <c r="B31" s="36" t="s">
        <v>64</v>
      </c>
      <c r="C31" s="25">
        <v>42440</v>
      </c>
      <c r="D31" s="25">
        <v>0</v>
      </c>
      <c r="E31" s="25">
        <v>42440</v>
      </c>
      <c r="F31" s="27">
        <f>-1000-10000-5000</f>
        <v>-16000</v>
      </c>
      <c r="G31" s="28">
        <f t="shared" si="12"/>
        <v>26440</v>
      </c>
      <c r="H31" s="25">
        <f>SUM(24000+440-1000+18000-10000-5000)</f>
        <v>26440</v>
      </c>
      <c r="I31" s="25">
        <v>0</v>
      </c>
      <c r="J31" s="25">
        <f>8120-120+163.34</f>
        <v>8163.34</v>
      </c>
      <c r="K31" s="48">
        <f>8120-120+201.86</f>
        <v>8201.86</v>
      </c>
      <c r="L31" s="30">
        <f t="shared" si="15"/>
        <v>18238.14</v>
      </c>
      <c r="M31" s="30">
        <f t="shared" si="13"/>
        <v>0</v>
      </c>
      <c r="N31" s="30">
        <f t="shared" si="14"/>
        <v>18238.14</v>
      </c>
      <c r="O31" s="33">
        <v>0</v>
      </c>
      <c r="P31" s="31">
        <f t="shared" si="10"/>
        <v>8201.86</v>
      </c>
      <c r="Q31" s="32">
        <f t="shared" si="1"/>
        <v>0.3102065052950076</v>
      </c>
      <c r="R31" s="32">
        <f t="shared" si="2"/>
        <v>0.30874962178517401</v>
      </c>
      <c r="S31" s="32">
        <f t="shared" si="3"/>
        <v>0.3102065052950076</v>
      </c>
    </row>
    <row r="32" spans="1:237" ht="13" x14ac:dyDescent="0.15">
      <c r="A32" s="34">
        <v>131</v>
      </c>
      <c r="B32" s="36" t="s">
        <v>65</v>
      </c>
      <c r="C32" s="25">
        <v>0</v>
      </c>
      <c r="D32" s="25">
        <v>0</v>
      </c>
      <c r="E32" s="25">
        <v>0</v>
      </c>
      <c r="F32" s="27">
        <v>2173</v>
      </c>
      <c r="G32" s="28">
        <f t="shared" si="12"/>
        <v>2173</v>
      </c>
      <c r="H32" s="25">
        <f>SUM(2173)</f>
        <v>2173</v>
      </c>
      <c r="I32" s="25">
        <v>0</v>
      </c>
      <c r="J32" s="25">
        <v>0</v>
      </c>
      <c r="K32" s="48">
        <v>0</v>
      </c>
      <c r="L32" s="30">
        <f t="shared" si="15"/>
        <v>2173</v>
      </c>
      <c r="M32" s="30">
        <f t="shared" si="13"/>
        <v>0</v>
      </c>
      <c r="N32" s="30">
        <f t="shared" si="14"/>
        <v>2173</v>
      </c>
      <c r="O32" s="33">
        <v>0</v>
      </c>
      <c r="P32" s="31">
        <f t="shared" si="10"/>
        <v>0</v>
      </c>
      <c r="Q32" s="32">
        <f t="shared" si="1"/>
        <v>0</v>
      </c>
      <c r="R32" s="32">
        <f t="shared" si="2"/>
        <v>0</v>
      </c>
      <c r="S32" s="32">
        <f t="shared" si="3"/>
        <v>0</v>
      </c>
    </row>
    <row r="33" spans="1:19" x14ac:dyDescent="0.15">
      <c r="A33" s="22" t="s">
        <v>66</v>
      </c>
      <c r="B33" s="23" t="s">
        <v>67</v>
      </c>
      <c r="C33" s="24">
        <v>20221</v>
      </c>
      <c r="D33" s="25">
        <v>0</v>
      </c>
      <c r="E33" s="26">
        <v>20221</v>
      </c>
      <c r="F33" s="27">
        <f>7000-7352</f>
        <v>-352</v>
      </c>
      <c r="G33" s="28">
        <f t="shared" si="12"/>
        <v>19869</v>
      </c>
      <c r="H33" s="25">
        <f>SUM(7000+10100+10121-7352)</f>
        <v>19869</v>
      </c>
      <c r="I33" s="25">
        <v>0</v>
      </c>
      <c r="J33" s="25">
        <f>3576.88+1690.71</f>
        <v>5267.59</v>
      </c>
      <c r="K33" s="48">
        <f>17100-13523.12+267.5+1423.21</f>
        <v>5267.5899999999992</v>
      </c>
      <c r="L33" s="30">
        <f t="shared" si="15"/>
        <v>14601.41</v>
      </c>
      <c r="M33" s="30">
        <f t="shared" si="13"/>
        <v>0</v>
      </c>
      <c r="N33" s="30">
        <f t="shared" si="14"/>
        <v>14601.41</v>
      </c>
      <c r="O33" s="25">
        <v>0</v>
      </c>
      <c r="P33" s="31">
        <f t="shared" si="10"/>
        <v>5267.5899999999992</v>
      </c>
      <c r="Q33" s="32">
        <f t="shared" si="1"/>
        <v>0.2651160098646132</v>
      </c>
      <c r="R33" s="32">
        <f t="shared" si="2"/>
        <v>0.2651160098646132</v>
      </c>
      <c r="S33" s="32">
        <f t="shared" si="3"/>
        <v>0.2651160098646132</v>
      </c>
    </row>
    <row r="34" spans="1:19" x14ac:dyDescent="0.15">
      <c r="A34" s="22">
        <v>141</v>
      </c>
      <c r="B34" s="23" t="s">
        <v>68</v>
      </c>
      <c r="C34" s="25">
        <v>0</v>
      </c>
      <c r="D34" s="25">
        <v>0</v>
      </c>
      <c r="E34" s="25">
        <v>0</v>
      </c>
      <c r="F34" s="27">
        <f>2450+1000+4840</f>
        <v>8290</v>
      </c>
      <c r="G34" s="28">
        <f t="shared" si="12"/>
        <v>8290</v>
      </c>
      <c r="H34" s="25">
        <f>SUM(2450+1000+4840)</f>
        <v>8290</v>
      </c>
      <c r="I34" s="25">
        <v>0</v>
      </c>
      <c r="J34" s="25">
        <f>1137+112+18+90-36+3885</f>
        <v>5206</v>
      </c>
      <c r="K34" s="48">
        <f>1142-112+224+18+90-36+3885</f>
        <v>5211</v>
      </c>
      <c r="L34" s="30">
        <f t="shared" si="15"/>
        <v>3079</v>
      </c>
      <c r="M34" s="30">
        <f t="shared" si="13"/>
        <v>0</v>
      </c>
      <c r="N34" s="30">
        <f t="shared" si="14"/>
        <v>3079</v>
      </c>
      <c r="O34" s="25">
        <f>468+582+106+3562</f>
        <v>4718</v>
      </c>
      <c r="P34" s="31">
        <f t="shared" si="10"/>
        <v>493</v>
      </c>
      <c r="Q34" s="32">
        <f t="shared" si="1"/>
        <v>0.62858866103739441</v>
      </c>
      <c r="R34" s="32">
        <f t="shared" si="2"/>
        <v>0.62798552472858871</v>
      </c>
      <c r="S34" s="32">
        <f t="shared" si="3"/>
        <v>0.62858866103739441</v>
      </c>
    </row>
    <row r="35" spans="1:19" x14ac:dyDescent="0.15">
      <c r="A35" s="22" t="s">
        <v>69</v>
      </c>
      <c r="B35" s="23" t="s">
        <v>70</v>
      </c>
      <c r="C35" s="24">
        <v>31765</v>
      </c>
      <c r="D35" s="25">
        <v>0</v>
      </c>
      <c r="E35" s="26">
        <v>31765</v>
      </c>
      <c r="F35" s="27">
        <f>-11212-10000</f>
        <v>-21212</v>
      </c>
      <c r="G35" s="28">
        <f t="shared" si="12"/>
        <v>10553</v>
      </c>
      <c r="H35" s="25">
        <f>SUM(10000+11765-11212)</f>
        <v>10553</v>
      </c>
      <c r="I35" s="25">
        <v>0</v>
      </c>
      <c r="J35" s="25">
        <v>0</v>
      </c>
      <c r="K35" s="48">
        <f>2000-2000</f>
        <v>0</v>
      </c>
      <c r="L35" s="30">
        <f t="shared" si="15"/>
        <v>10553</v>
      </c>
      <c r="M35" s="30">
        <f t="shared" si="13"/>
        <v>0</v>
      </c>
      <c r="N35" s="30">
        <f t="shared" si="14"/>
        <v>10553</v>
      </c>
      <c r="O35" s="33">
        <v>0</v>
      </c>
      <c r="P35" s="31">
        <f t="shared" si="10"/>
        <v>0</v>
      </c>
      <c r="Q35" s="32">
        <f t="shared" si="1"/>
        <v>0</v>
      </c>
      <c r="R35" s="32">
        <f t="shared" si="2"/>
        <v>0</v>
      </c>
      <c r="S35" s="32">
        <f t="shared" si="3"/>
        <v>0</v>
      </c>
    </row>
    <row r="36" spans="1:19" x14ac:dyDescent="0.15">
      <c r="A36" s="34" t="s">
        <v>71</v>
      </c>
      <c r="B36" s="23" t="s">
        <v>72</v>
      </c>
      <c r="C36" s="24">
        <v>13362</v>
      </c>
      <c r="D36" s="25">
        <v>0</v>
      </c>
      <c r="E36" s="26">
        <v>13362</v>
      </c>
      <c r="F36" s="27">
        <f>4000-4887-8000-740</f>
        <v>-9627</v>
      </c>
      <c r="G36" s="28">
        <f t="shared" si="12"/>
        <v>3735</v>
      </c>
      <c r="H36" s="25">
        <f>SUM(1000+7000-4887+5000-3638-740)</f>
        <v>3735</v>
      </c>
      <c r="I36" s="25">
        <v>0</v>
      </c>
      <c r="J36" s="24">
        <f>492+60-50+288.77-5+390</f>
        <v>1175.77</v>
      </c>
      <c r="K36" s="48">
        <f>549+60-50+288.77-5+390</f>
        <v>1232.77</v>
      </c>
      <c r="L36" s="30">
        <f t="shared" si="15"/>
        <v>2502.23</v>
      </c>
      <c r="M36" s="30">
        <f t="shared" si="13"/>
        <v>0</v>
      </c>
      <c r="N36" s="30">
        <f t="shared" si="14"/>
        <v>2502.23</v>
      </c>
      <c r="O36" s="33">
        <f>15+182+10+418.77</f>
        <v>625.77</v>
      </c>
      <c r="P36" s="31">
        <f t="shared" si="10"/>
        <v>607</v>
      </c>
      <c r="Q36" s="32">
        <f t="shared" si="1"/>
        <v>0.33005890227576973</v>
      </c>
      <c r="R36" s="32">
        <f t="shared" si="2"/>
        <v>0.31479785809906291</v>
      </c>
      <c r="S36" s="32">
        <f t="shared" si="3"/>
        <v>0.33005890227576973</v>
      </c>
    </row>
    <row r="37" spans="1:19" x14ac:dyDescent="0.15">
      <c r="A37" s="34">
        <v>152</v>
      </c>
      <c r="B37" s="49" t="s">
        <v>73</v>
      </c>
      <c r="C37" s="50"/>
      <c r="D37" s="51"/>
      <c r="E37" s="52"/>
      <c r="F37" s="53">
        <f>10000</f>
        <v>10000</v>
      </c>
      <c r="G37" s="52">
        <f t="shared" si="12"/>
        <v>10000</v>
      </c>
      <c r="H37" s="51">
        <f>10000</f>
        <v>10000</v>
      </c>
      <c r="I37" s="51"/>
      <c r="J37" s="50"/>
      <c r="K37" s="54"/>
      <c r="L37" s="55">
        <f t="shared" si="15"/>
        <v>10000</v>
      </c>
      <c r="M37" s="55"/>
      <c r="N37" s="55">
        <f t="shared" si="14"/>
        <v>10000</v>
      </c>
      <c r="O37" s="56"/>
      <c r="P37" s="55"/>
      <c r="Q37" s="57">
        <f t="shared" si="1"/>
        <v>0</v>
      </c>
      <c r="R37" s="57">
        <v>0</v>
      </c>
      <c r="S37" s="57">
        <v>0</v>
      </c>
    </row>
    <row r="38" spans="1:19" x14ac:dyDescent="0.15">
      <c r="A38" s="34">
        <v>153</v>
      </c>
      <c r="B38" s="23" t="s">
        <v>74</v>
      </c>
      <c r="C38" s="25">
        <v>0</v>
      </c>
      <c r="D38" s="25">
        <v>0</v>
      </c>
      <c r="E38" s="25">
        <v>0</v>
      </c>
      <c r="F38" s="27">
        <f>3000-3000</f>
        <v>0</v>
      </c>
      <c r="G38" s="28">
        <f>SUM(E38+F38)</f>
        <v>0</v>
      </c>
      <c r="H38" s="25">
        <f>SUM(3000-3000)</f>
        <v>0</v>
      </c>
      <c r="I38" s="25">
        <v>0</v>
      </c>
      <c r="J38" s="24">
        <v>0</v>
      </c>
      <c r="K38" s="48">
        <v>0</v>
      </c>
      <c r="L38" s="30">
        <f t="shared" si="15"/>
        <v>0</v>
      </c>
      <c r="M38" s="30">
        <f>SUM(G38-H38)</f>
        <v>0</v>
      </c>
      <c r="N38" s="30">
        <f t="shared" si="14"/>
        <v>0</v>
      </c>
      <c r="O38" s="33">
        <v>0</v>
      </c>
      <c r="P38" s="31">
        <f t="shared" ref="P38:P52" si="16">SUM(K38-O38)</f>
        <v>0</v>
      </c>
      <c r="Q38" s="32">
        <v>0</v>
      </c>
      <c r="R38" s="32">
        <v>0</v>
      </c>
      <c r="S38" s="32">
        <v>0</v>
      </c>
    </row>
    <row r="39" spans="1:19" x14ac:dyDescent="0.15">
      <c r="A39" s="34">
        <v>154</v>
      </c>
      <c r="B39" s="23" t="s">
        <v>75</v>
      </c>
      <c r="C39" s="25">
        <v>0</v>
      </c>
      <c r="D39" s="25">
        <v>0</v>
      </c>
      <c r="E39" s="25">
        <v>0</v>
      </c>
      <c r="F39" s="27">
        <v>1000</v>
      </c>
      <c r="G39" s="28">
        <f t="shared" ref="G39:G52" si="17">SUM(E39+F39)</f>
        <v>1000</v>
      </c>
      <c r="H39" s="25">
        <f>SUM(1000)</f>
        <v>1000</v>
      </c>
      <c r="I39" s="25">
        <v>0</v>
      </c>
      <c r="J39" s="24">
        <f>170.66+12.85-13+0.15+38.85-12+61.6</f>
        <v>259.11</v>
      </c>
      <c r="K39" s="48">
        <f>175.66+38.85-12+61.6</f>
        <v>264.11</v>
      </c>
      <c r="L39" s="30">
        <f t="shared" si="15"/>
        <v>735.89</v>
      </c>
      <c r="M39" s="30">
        <f>SUM(G39-H39)</f>
        <v>0</v>
      </c>
      <c r="N39" s="30">
        <f t="shared" si="14"/>
        <v>735.89</v>
      </c>
      <c r="O39" s="33">
        <f>170.66+26.85</f>
        <v>197.51</v>
      </c>
      <c r="P39" s="31">
        <f t="shared" si="16"/>
        <v>66.600000000000023</v>
      </c>
      <c r="Q39" s="32">
        <f t="shared" si="1"/>
        <v>0.26411000000000001</v>
      </c>
      <c r="R39" s="32">
        <f t="shared" si="2"/>
        <v>0.25911000000000001</v>
      </c>
      <c r="S39" s="32">
        <f t="shared" si="3"/>
        <v>0.26411000000000001</v>
      </c>
    </row>
    <row r="40" spans="1:19" x14ac:dyDescent="0.15">
      <c r="A40" s="22" t="s">
        <v>76</v>
      </c>
      <c r="B40" s="23" t="s">
        <v>77</v>
      </c>
      <c r="C40" s="24">
        <v>8735</v>
      </c>
      <c r="D40" s="25">
        <v>0</v>
      </c>
      <c r="E40" s="26">
        <v>8735</v>
      </c>
      <c r="F40" s="27">
        <f>-1774-3500</f>
        <v>-5274</v>
      </c>
      <c r="G40" s="28">
        <f t="shared" si="17"/>
        <v>3461</v>
      </c>
      <c r="H40" s="25">
        <f>SUM(2621+605+2000-1765)</f>
        <v>3461</v>
      </c>
      <c r="I40" s="25">
        <v>0</v>
      </c>
      <c r="J40" s="25">
        <f>379.75+1343.43</f>
        <v>1723.18</v>
      </c>
      <c r="K40" s="48">
        <f>1723.18</f>
        <v>1723.18</v>
      </c>
      <c r="L40" s="30">
        <f t="shared" si="15"/>
        <v>1737.82</v>
      </c>
      <c r="M40" s="30">
        <f>SUM(G40-H40)</f>
        <v>0</v>
      </c>
      <c r="N40" s="30">
        <f t="shared" si="14"/>
        <v>1737.82</v>
      </c>
      <c r="O40" s="33">
        <f>1723.18</f>
        <v>1723.18</v>
      </c>
      <c r="P40" s="31">
        <f t="shared" si="16"/>
        <v>0</v>
      </c>
      <c r="Q40" s="32">
        <f t="shared" si="1"/>
        <v>0.49788500433400751</v>
      </c>
      <c r="R40" s="32">
        <f t="shared" si="2"/>
        <v>0.49788500433400751</v>
      </c>
      <c r="S40" s="32">
        <f t="shared" si="3"/>
        <v>0.49788500433400751</v>
      </c>
    </row>
    <row r="41" spans="1:19" x14ac:dyDescent="0.15">
      <c r="A41" s="22">
        <v>165</v>
      </c>
      <c r="B41" s="23" t="s">
        <v>78</v>
      </c>
      <c r="C41" s="25">
        <v>0</v>
      </c>
      <c r="D41" s="25">
        <v>0</v>
      </c>
      <c r="E41" s="25">
        <v>0</v>
      </c>
      <c r="F41" s="27">
        <f>25965-9844+8000+6000+1200</f>
        <v>31321</v>
      </c>
      <c r="G41" s="28">
        <f t="shared" si="17"/>
        <v>31321</v>
      </c>
      <c r="H41" s="25">
        <f>SUM(20115+5850-9844+8000+6000+1200)</f>
        <v>31321</v>
      </c>
      <c r="I41" s="25">
        <v>0</v>
      </c>
      <c r="J41" s="24">
        <f>SUM(13060.53+2058.1+518.95+16.05+3750.72-15-0.25+10265.25+585)</f>
        <v>30239.350000000002</v>
      </c>
      <c r="K41" s="29">
        <f>15118.63+518.95+433.35+3750.72-15+10265+585</f>
        <v>30656.65</v>
      </c>
      <c r="L41" s="30">
        <f t="shared" si="15"/>
        <v>664.34999999999854</v>
      </c>
      <c r="M41" s="30">
        <f>SUM(G41-H41)</f>
        <v>0</v>
      </c>
      <c r="N41" s="30">
        <f t="shared" si="14"/>
        <v>664.34999999999854</v>
      </c>
      <c r="O41" s="33">
        <f>2431.46+1215.73+1107.45+1107.45+3700.55+1107.45+1122.7</f>
        <v>11792.79</v>
      </c>
      <c r="P41" s="31">
        <f t="shared" si="16"/>
        <v>18863.86</v>
      </c>
      <c r="Q41" s="32">
        <f t="shared" si="1"/>
        <v>0.9787889914115131</v>
      </c>
      <c r="R41" s="32">
        <f t="shared" si="2"/>
        <v>0.96546566201589989</v>
      </c>
      <c r="S41" s="32">
        <f t="shared" si="3"/>
        <v>0.9787889914115131</v>
      </c>
    </row>
    <row r="42" spans="1:19" x14ac:dyDescent="0.15">
      <c r="A42" s="22" t="s">
        <v>79</v>
      </c>
      <c r="B42" s="23" t="s">
        <v>80</v>
      </c>
      <c r="C42" s="24">
        <v>6000</v>
      </c>
      <c r="D42" s="25">
        <v>0</v>
      </c>
      <c r="E42" s="26">
        <v>6000</v>
      </c>
      <c r="F42" s="27">
        <f>SUM(947+1920+9844+10200+2000)</f>
        <v>24911</v>
      </c>
      <c r="G42" s="28">
        <f t="shared" si="17"/>
        <v>30911</v>
      </c>
      <c r="H42" s="25">
        <f>SUM(6947+1920+9844+10200+2000)</f>
        <v>30911</v>
      </c>
      <c r="I42" s="25">
        <v>0</v>
      </c>
      <c r="J42" s="24">
        <f>SUM(5264.11+355.01+9330.4+92.3+529.27+10647.28-170+600.41-66-0.1+1857.51)</f>
        <v>28440.190000000002</v>
      </c>
      <c r="K42" s="48">
        <f>5619.12+9330.4+165.34+529.27+10574.24-170+600.41-66-0.1+1894.57</f>
        <v>28477.250000000004</v>
      </c>
      <c r="L42" s="30">
        <f t="shared" si="15"/>
        <v>2433.7499999999964</v>
      </c>
      <c r="M42" s="30">
        <f>SUM(G42-H42)</f>
        <v>0</v>
      </c>
      <c r="N42" s="30">
        <f t="shared" si="14"/>
        <v>2433.7499999999964</v>
      </c>
      <c r="O42" s="33">
        <f>1582.23+118.54+1441.67+866.7+7771.46</f>
        <v>11780.6</v>
      </c>
      <c r="P42" s="31">
        <f t="shared" si="16"/>
        <v>16696.650000000001</v>
      </c>
      <c r="Q42" s="32">
        <f t="shared" si="1"/>
        <v>0.92126589240076362</v>
      </c>
      <c r="R42" s="32">
        <f t="shared" si="2"/>
        <v>0.9200669664520722</v>
      </c>
      <c r="S42" s="32">
        <f t="shared" si="3"/>
        <v>0.92126589240076362</v>
      </c>
    </row>
    <row r="43" spans="1:19" x14ac:dyDescent="0.15">
      <c r="A43" s="22">
        <v>171</v>
      </c>
      <c r="B43" s="23" t="s">
        <v>81</v>
      </c>
      <c r="C43" s="25">
        <v>0</v>
      </c>
      <c r="D43" s="25">
        <v>0</v>
      </c>
      <c r="E43" s="25">
        <v>0</v>
      </c>
      <c r="F43" s="27">
        <f>15000-5000</f>
        <v>10000</v>
      </c>
      <c r="G43" s="28">
        <f t="shared" si="17"/>
        <v>10000</v>
      </c>
      <c r="H43" s="25">
        <f>15000-5000</f>
        <v>10000</v>
      </c>
      <c r="I43" s="25"/>
      <c r="J43" s="24"/>
      <c r="K43" s="48"/>
      <c r="L43" s="30">
        <f t="shared" si="15"/>
        <v>10000</v>
      </c>
      <c r="M43" s="30"/>
      <c r="N43" s="30">
        <f t="shared" si="14"/>
        <v>10000</v>
      </c>
      <c r="O43" s="33"/>
      <c r="P43" s="31">
        <f t="shared" si="16"/>
        <v>0</v>
      </c>
      <c r="Q43" s="32">
        <f t="shared" si="1"/>
        <v>0</v>
      </c>
      <c r="R43" s="32">
        <f t="shared" si="2"/>
        <v>0</v>
      </c>
      <c r="S43" s="32">
        <f t="shared" si="3"/>
        <v>0</v>
      </c>
    </row>
    <row r="44" spans="1:19" x14ac:dyDescent="0.15">
      <c r="A44" s="22" t="s">
        <v>82</v>
      </c>
      <c r="B44" s="23" t="s">
        <v>83</v>
      </c>
      <c r="C44" s="24">
        <v>36000</v>
      </c>
      <c r="D44" s="25">
        <v>0</v>
      </c>
      <c r="E44" s="26">
        <v>36000</v>
      </c>
      <c r="F44" s="27">
        <f>1015-500</f>
        <v>515</v>
      </c>
      <c r="G44" s="28">
        <f t="shared" si="17"/>
        <v>36515</v>
      </c>
      <c r="H44" s="25">
        <f>SUM(46800-10800+1015-500)</f>
        <v>36515</v>
      </c>
      <c r="I44" s="25">
        <v>0</v>
      </c>
      <c r="J44" s="24">
        <v>36000</v>
      </c>
      <c r="K44" s="48">
        <f>(36000)</f>
        <v>36000</v>
      </c>
      <c r="L44" s="30">
        <f t="shared" si="15"/>
        <v>515</v>
      </c>
      <c r="M44" s="30">
        <f t="shared" ref="M44:M52" si="18">SUM(G44-H44)</f>
        <v>0</v>
      </c>
      <c r="N44" s="30">
        <f t="shared" si="14"/>
        <v>515</v>
      </c>
      <c r="O44" s="33">
        <f>9000+6000+3000+3000+3000+3000</f>
        <v>27000</v>
      </c>
      <c r="P44" s="31">
        <f t="shared" si="16"/>
        <v>9000</v>
      </c>
      <c r="Q44" s="32">
        <f t="shared" si="1"/>
        <v>0.98589620703820346</v>
      </c>
      <c r="R44" s="32">
        <f t="shared" si="2"/>
        <v>0.98589620703820346</v>
      </c>
      <c r="S44" s="32">
        <f t="shared" si="3"/>
        <v>0.98589620703820346</v>
      </c>
    </row>
    <row r="45" spans="1:19" x14ac:dyDescent="0.15">
      <c r="A45" s="22" t="s">
        <v>84</v>
      </c>
      <c r="B45" s="23" t="s">
        <v>85</v>
      </c>
      <c r="C45" s="24">
        <v>3000</v>
      </c>
      <c r="D45" s="25">
        <v>0</v>
      </c>
      <c r="E45" s="26">
        <v>3000</v>
      </c>
      <c r="F45" s="27">
        <v>-1000</v>
      </c>
      <c r="G45" s="28">
        <f t="shared" si="17"/>
        <v>2000</v>
      </c>
      <c r="H45" s="25">
        <f>SUM(1500+500)</f>
        <v>2000</v>
      </c>
      <c r="I45" s="25">
        <v>0</v>
      </c>
      <c r="J45" s="33">
        <v>363.8</v>
      </c>
      <c r="K45" s="48">
        <v>363.8</v>
      </c>
      <c r="L45" s="30">
        <f t="shared" si="15"/>
        <v>1636.2</v>
      </c>
      <c r="M45" s="30">
        <f t="shared" si="18"/>
        <v>0</v>
      </c>
      <c r="N45" s="30">
        <f t="shared" si="14"/>
        <v>1636.2</v>
      </c>
      <c r="O45" s="33">
        <f>363.8</f>
        <v>363.8</v>
      </c>
      <c r="P45" s="31">
        <f t="shared" si="16"/>
        <v>0</v>
      </c>
      <c r="Q45" s="32">
        <f t="shared" si="1"/>
        <v>0.18190000000000001</v>
      </c>
      <c r="R45" s="32">
        <f t="shared" si="2"/>
        <v>0.18190000000000001</v>
      </c>
      <c r="S45" s="32">
        <f t="shared" si="3"/>
        <v>0.18190000000000001</v>
      </c>
    </row>
    <row r="46" spans="1:19" x14ac:dyDescent="0.15">
      <c r="A46" s="34" t="s">
        <v>86</v>
      </c>
      <c r="B46" s="23" t="s">
        <v>87</v>
      </c>
      <c r="C46" s="25">
        <v>2631</v>
      </c>
      <c r="D46" s="25">
        <v>0</v>
      </c>
      <c r="E46" s="25">
        <v>2631</v>
      </c>
      <c r="F46" s="27">
        <f>-2000+4419-3000</f>
        <v>-581</v>
      </c>
      <c r="G46" s="28">
        <f t="shared" si="17"/>
        <v>2050</v>
      </c>
      <c r="H46" s="25">
        <f>SUM(2631-2000+4419-3000)</f>
        <v>2050</v>
      </c>
      <c r="I46" s="25">
        <v>0</v>
      </c>
      <c r="J46" s="33">
        <f>95.71+17.12+138.78</f>
        <v>251.61</v>
      </c>
      <c r="K46" s="48">
        <f>95.71+17.12+166.28</f>
        <v>279.11</v>
      </c>
      <c r="L46" s="30">
        <f t="shared" si="15"/>
        <v>1770.8899999999999</v>
      </c>
      <c r="M46" s="30">
        <f t="shared" si="18"/>
        <v>0</v>
      </c>
      <c r="N46" s="30">
        <f t="shared" si="14"/>
        <v>1770.8899999999999</v>
      </c>
      <c r="O46" s="33">
        <f>74.58+95.7+64.2</f>
        <v>234.48000000000002</v>
      </c>
      <c r="P46" s="31">
        <f t="shared" si="16"/>
        <v>44.629999999999995</v>
      </c>
      <c r="Q46" s="32">
        <f t="shared" si="1"/>
        <v>0.13615121951219514</v>
      </c>
      <c r="R46" s="32">
        <f t="shared" si="2"/>
        <v>0.12273658536585366</v>
      </c>
      <c r="S46" s="32">
        <f t="shared" si="3"/>
        <v>0.13615121951219514</v>
      </c>
    </row>
    <row r="47" spans="1:19" x14ac:dyDescent="0.15">
      <c r="A47" s="34">
        <v>185</v>
      </c>
      <c r="B47" s="23" t="s">
        <v>88</v>
      </c>
      <c r="C47" s="25">
        <v>0</v>
      </c>
      <c r="D47" s="25">
        <v>0</v>
      </c>
      <c r="E47" s="25">
        <v>0</v>
      </c>
      <c r="F47" s="27">
        <f>1945+36050-35736</f>
        <v>2259</v>
      </c>
      <c r="G47" s="28">
        <f t="shared" si="17"/>
        <v>2259</v>
      </c>
      <c r="H47" s="25">
        <f>1945+36050-35736</f>
        <v>2259</v>
      </c>
      <c r="I47" s="25">
        <v>0</v>
      </c>
      <c r="J47" s="33">
        <f>80.25+2178.66</f>
        <v>2258.91</v>
      </c>
      <c r="K47" s="48">
        <f>80.25+2178.66</f>
        <v>2258.91</v>
      </c>
      <c r="L47" s="30">
        <f t="shared" si="15"/>
        <v>9.0000000000145519E-2</v>
      </c>
      <c r="M47" s="30">
        <f t="shared" si="18"/>
        <v>0</v>
      </c>
      <c r="N47" s="30">
        <f t="shared" si="14"/>
        <v>9.0000000000145519E-2</v>
      </c>
      <c r="O47" s="33">
        <v>80.25</v>
      </c>
      <c r="P47" s="31">
        <f t="shared" si="16"/>
        <v>2178.66</v>
      </c>
      <c r="Q47" s="32">
        <f t="shared" si="1"/>
        <v>0.99996015936254978</v>
      </c>
      <c r="R47" s="32">
        <f t="shared" si="2"/>
        <v>0.99996015936254978</v>
      </c>
      <c r="S47" s="32">
        <f t="shared" si="3"/>
        <v>0.99996015936254978</v>
      </c>
    </row>
    <row r="48" spans="1:19" x14ac:dyDescent="0.15">
      <c r="A48" s="34">
        <v>192</v>
      </c>
      <c r="B48" s="23" t="s">
        <v>89</v>
      </c>
      <c r="C48" s="25">
        <v>0</v>
      </c>
      <c r="D48" s="25">
        <v>0</v>
      </c>
      <c r="E48" s="25">
        <v>0</v>
      </c>
      <c r="F48" s="27">
        <f>2000-1000-959</f>
        <v>41</v>
      </c>
      <c r="G48" s="28">
        <f t="shared" si="17"/>
        <v>41</v>
      </c>
      <c r="H48" s="25">
        <f>SUM(2000-1000-959)</f>
        <v>41</v>
      </c>
      <c r="I48" s="25">
        <v>0</v>
      </c>
      <c r="J48" s="33">
        <v>40.65</v>
      </c>
      <c r="K48" s="48">
        <v>40.65</v>
      </c>
      <c r="L48" s="30">
        <f t="shared" si="15"/>
        <v>0.35000000000000142</v>
      </c>
      <c r="M48" s="30">
        <f t="shared" si="18"/>
        <v>0</v>
      </c>
      <c r="N48" s="30">
        <f t="shared" si="14"/>
        <v>0.35000000000000142</v>
      </c>
      <c r="O48" s="33">
        <v>40.65</v>
      </c>
      <c r="P48" s="31">
        <f t="shared" si="16"/>
        <v>0</v>
      </c>
      <c r="Q48" s="32">
        <f t="shared" si="1"/>
        <v>0.99146341463414633</v>
      </c>
      <c r="R48" s="32">
        <f t="shared" si="2"/>
        <v>0.99146341463414633</v>
      </c>
      <c r="S48" s="32">
        <f t="shared" si="3"/>
        <v>0.99146341463414633</v>
      </c>
    </row>
    <row r="49" spans="1:237" x14ac:dyDescent="0.15">
      <c r="A49" s="34">
        <v>195</v>
      </c>
      <c r="B49" s="23" t="s">
        <v>90</v>
      </c>
      <c r="C49" s="25">
        <v>0</v>
      </c>
      <c r="D49" s="25">
        <v>0</v>
      </c>
      <c r="E49" s="25">
        <v>0</v>
      </c>
      <c r="F49" s="27">
        <f>330-13</f>
        <v>317</v>
      </c>
      <c r="G49" s="28">
        <f t="shared" si="17"/>
        <v>317</v>
      </c>
      <c r="H49" s="25">
        <f>330-13</f>
        <v>317</v>
      </c>
      <c r="I49" s="25">
        <v>0</v>
      </c>
      <c r="J49" s="24">
        <v>317</v>
      </c>
      <c r="K49" s="29">
        <v>317</v>
      </c>
      <c r="L49" s="30">
        <f t="shared" si="15"/>
        <v>0</v>
      </c>
      <c r="M49" s="30">
        <f t="shared" si="18"/>
        <v>0</v>
      </c>
      <c r="N49" s="30">
        <f t="shared" si="14"/>
        <v>0</v>
      </c>
      <c r="O49" s="33">
        <v>317</v>
      </c>
      <c r="P49" s="31">
        <f t="shared" si="16"/>
        <v>0</v>
      </c>
      <c r="Q49" s="32">
        <f t="shared" si="1"/>
        <v>1</v>
      </c>
      <c r="R49" s="32">
        <f t="shared" si="2"/>
        <v>1</v>
      </c>
      <c r="S49" s="32">
        <f t="shared" si="3"/>
        <v>1</v>
      </c>
    </row>
    <row r="50" spans="1:237" x14ac:dyDescent="0.15">
      <c r="A50" s="34">
        <v>196</v>
      </c>
      <c r="B50" s="23" t="s">
        <v>91</v>
      </c>
      <c r="C50" s="25">
        <v>0</v>
      </c>
      <c r="D50" s="25">
        <v>0</v>
      </c>
      <c r="E50" s="25">
        <v>0</v>
      </c>
      <c r="F50" s="27">
        <v>84</v>
      </c>
      <c r="G50" s="28">
        <f t="shared" si="17"/>
        <v>84</v>
      </c>
      <c r="H50" s="25">
        <v>84</v>
      </c>
      <c r="I50" s="25">
        <v>0</v>
      </c>
      <c r="J50" s="24">
        <f>69+15-15+15</f>
        <v>84</v>
      </c>
      <c r="K50" s="29">
        <f>69+15-15+15</f>
        <v>84</v>
      </c>
      <c r="L50" s="30">
        <f t="shared" si="15"/>
        <v>0</v>
      </c>
      <c r="M50" s="30">
        <f t="shared" si="18"/>
        <v>0</v>
      </c>
      <c r="N50" s="30">
        <f t="shared" si="14"/>
        <v>0</v>
      </c>
      <c r="O50" s="33">
        <f>69+15</f>
        <v>84</v>
      </c>
      <c r="P50" s="31">
        <f t="shared" si="16"/>
        <v>0</v>
      </c>
      <c r="Q50" s="32">
        <f t="shared" si="1"/>
        <v>1</v>
      </c>
      <c r="R50" s="32">
        <f t="shared" si="2"/>
        <v>1</v>
      </c>
      <c r="S50" s="32">
        <f t="shared" si="3"/>
        <v>1</v>
      </c>
    </row>
    <row r="51" spans="1:237" x14ac:dyDescent="0.15">
      <c r="A51" s="22">
        <v>197</v>
      </c>
      <c r="B51" s="23" t="s">
        <v>92</v>
      </c>
      <c r="C51" s="25">
        <v>0</v>
      </c>
      <c r="D51" s="25">
        <v>0</v>
      </c>
      <c r="E51" s="25">
        <v>0</v>
      </c>
      <c r="F51" s="27">
        <f>1615-700-100</f>
        <v>815</v>
      </c>
      <c r="G51" s="28">
        <f t="shared" si="17"/>
        <v>815</v>
      </c>
      <c r="H51" s="25">
        <f>SUM(800+15+800-700-100)</f>
        <v>815</v>
      </c>
      <c r="I51" s="25">
        <v>0</v>
      </c>
      <c r="J51" s="25">
        <f>SUM(1600-800+15-15+15)</f>
        <v>815</v>
      </c>
      <c r="K51" s="48">
        <f>1600-800+15-15+15</f>
        <v>815</v>
      </c>
      <c r="L51" s="30">
        <f t="shared" si="15"/>
        <v>0</v>
      </c>
      <c r="M51" s="30">
        <f t="shared" si="18"/>
        <v>0</v>
      </c>
      <c r="N51" s="30">
        <f t="shared" si="14"/>
        <v>0</v>
      </c>
      <c r="O51" s="25">
        <f>800+15</f>
        <v>815</v>
      </c>
      <c r="P51" s="31">
        <f t="shared" si="16"/>
        <v>0</v>
      </c>
      <c r="Q51" s="32">
        <f t="shared" si="1"/>
        <v>1</v>
      </c>
      <c r="R51" s="32">
        <f t="shared" si="2"/>
        <v>1</v>
      </c>
      <c r="S51" s="32">
        <f t="shared" si="3"/>
        <v>1</v>
      </c>
    </row>
    <row r="52" spans="1:237" ht="13" thickBot="1" x14ac:dyDescent="0.2">
      <c r="A52" s="22">
        <v>199</v>
      </c>
      <c r="B52" s="23" t="s">
        <v>93</v>
      </c>
      <c r="C52" s="25">
        <v>0</v>
      </c>
      <c r="D52" s="25">
        <v>0</v>
      </c>
      <c r="E52" s="25">
        <v>0</v>
      </c>
      <c r="F52" s="27">
        <v>79</v>
      </c>
      <c r="G52" s="28">
        <f t="shared" si="17"/>
        <v>79</v>
      </c>
      <c r="H52" s="25">
        <v>79</v>
      </c>
      <c r="I52" s="25">
        <v>0</v>
      </c>
      <c r="J52" s="33">
        <f>78.75-78.75+78.75</f>
        <v>78.75</v>
      </c>
      <c r="K52" s="48">
        <f>78.75-78.75+78.75</f>
        <v>78.75</v>
      </c>
      <c r="L52" s="30">
        <f t="shared" si="15"/>
        <v>0.25</v>
      </c>
      <c r="M52" s="30">
        <f t="shared" si="18"/>
        <v>0</v>
      </c>
      <c r="N52" s="30">
        <f t="shared" si="14"/>
        <v>0.25</v>
      </c>
      <c r="O52" s="33">
        <f>78.75</f>
        <v>78.75</v>
      </c>
      <c r="P52" s="31">
        <f t="shared" si="16"/>
        <v>0</v>
      </c>
      <c r="Q52" s="32">
        <f t="shared" si="1"/>
        <v>0.99683544303797467</v>
      </c>
      <c r="R52" s="32">
        <f t="shared" si="2"/>
        <v>0.99683544303797467</v>
      </c>
      <c r="S52" s="32">
        <f t="shared" si="3"/>
        <v>0.99683544303797467</v>
      </c>
    </row>
    <row r="53" spans="1:237" s="11" customFormat="1" ht="14" thickBot="1" x14ac:dyDescent="0.2">
      <c r="A53" s="37">
        <v>2</v>
      </c>
      <c r="B53" s="38" t="s">
        <v>94</v>
      </c>
      <c r="C53" s="39">
        <f>SUM(C55:C85)</f>
        <v>54867</v>
      </c>
      <c r="D53" s="39">
        <f>SUM(D55:D85)</f>
        <v>0</v>
      </c>
      <c r="E53" s="39">
        <f>SUM(E55:E85)</f>
        <v>54867</v>
      </c>
      <c r="F53" s="40">
        <f t="shared" ref="F53:P53" si="19">SUM(F54:F85)</f>
        <v>17302</v>
      </c>
      <c r="G53" s="40">
        <f t="shared" si="19"/>
        <v>72169</v>
      </c>
      <c r="H53" s="39">
        <f t="shared" si="19"/>
        <v>72169</v>
      </c>
      <c r="I53" s="39">
        <f t="shared" si="19"/>
        <v>0</v>
      </c>
      <c r="J53" s="39">
        <f t="shared" si="19"/>
        <v>42380.250000000007</v>
      </c>
      <c r="K53" s="39">
        <f t="shared" si="19"/>
        <v>47051.56</v>
      </c>
      <c r="L53" s="39">
        <f t="shared" si="19"/>
        <v>25117.44000000001</v>
      </c>
      <c r="M53" s="39">
        <f t="shared" si="19"/>
        <v>0</v>
      </c>
      <c r="N53" s="39">
        <f t="shared" si="19"/>
        <v>25117.44000000001</v>
      </c>
      <c r="O53" s="39">
        <f t="shared" si="19"/>
        <v>26459.309999999998</v>
      </c>
      <c r="P53" s="39">
        <f t="shared" si="19"/>
        <v>20592.25</v>
      </c>
      <c r="Q53" s="44">
        <f t="shared" ref="Q53:Q93" si="20">SUM(K53/H53*100%)</f>
        <v>0.65196358547298694</v>
      </c>
      <c r="R53" s="13">
        <f t="shared" si="2"/>
        <v>0.5872362094528123</v>
      </c>
      <c r="S53" s="13">
        <f t="shared" si="3"/>
        <v>0.65196358547298694</v>
      </c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</row>
    <row r="54" spans="1:237" s="11" customFormat="1" x14ac:dyDescent="0.15">
      <c r="A54" s="34">
        <v>201</v>
      </c>
      <c r="B54" s="23" t="s">
        <v>95</v>
      </c>
      <c r="C54" s="25">
        <v>0</v>
      </c>
      <c r="D54" s="25">
        <v>0</v>
      </c>
      <c r="E54" s="25">
        <v>0</v>
      </c>
      <c r="F54" s="58">
        <f>1000+5200</f>
        <v>6200</v>
      </c>
      <c r="G54" s="28">
        <f>SUM(E54+F54)</f>
        <v>6200</v>
      </c>
      <c r="H54" s="59">
        <f>5200+1000</f>
        <v>6200</v>
      </c>
      <c r="I54" s="59"/>
      <c r="J54" s="59">
        <f>174-120+321.95-34+0.22+3127.78</f>
        <v>3469.9500000000003</v>
      </c>
      <c r="K54" s="59">
        <f>174-120+321.95-34+0.22+3134.49</f>
        <v>3476.66</v>
      </c>
      <c r="L54" s="30">
        <f t="shared" ref="L54:L85" si="21">SUM(H54-K54)</f>
        <v>2723.34</v>
      </c>
      <c r="M54" s="59"/>
      <c r="N54" s="30">
        <f t="shared" ref="N54:N85" si="22">SUM(-I54+L54+M54)</f>
        <v>2723.34</v>
      </c>
      <c r="O54" s="59">
        <f>54+400.17</f>
        <v>454.17</v>
      </c>
      <c r="P54" s="31">
        <f t="shared" ref="P54:P85" si="23">SUM(K54-O54)</f>
        <v>3022.49</v>
      </c>
      <c r="Q54" s="32">
        <f t="shared" si="20"/>
        <v>0.56075161290322584</v>
      </c>
      <c r="R54" s="32">
        <f t="shared" si="2"/>
        <v>0.55966935483870972</v>
      </c>
      <c r="S54" s="32">
        <f t="shared" si="3"/>
        <v>0.56075161290322584</v>
      </c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</row>
    <row r="55" spans="1:237" x14ac:dyDescent="0.15">
      <c r="A55" s="34" t="s">
        <v>96</v>
      </c>
      <c r="B55" s="23" t="s">
        <v>97</v>
      </c>
      <c r="C55" s="24">
        <v>732</v>
      </c>
      <c r="D55" s="25">
        <v>0</v>
      </c>
      <c r="E55" s="26">
        <v>732</v>
      </c>
      <c r="F55" s="27">
        <f>2461-1800+500</f>
        <v>1161</v>
      </c>
      <c r="G55" s="28">
        <f t="shared" ref="G55:G85" si="24">SUM(E55+F55)</f>
        <v>1893</v>
      </c>
      <c r="H55" s="25">
        <f>SUM(732-39+2500-1800+500)</f>
        <v>1893</v>
      </c>
      <c r="I55" s="25">
        <v>0</v>
      </c>
      <c r="J55" s="24">
        <f>SUM(693+630+70)</f>
        <v>1393</v>
      </c>
      <c r="K55" s="48">
        <f>(693+630+89.82)</f>
        <v>1412.82</v>
      </c>
      <c r="L55" s="30">
        <f t="shared" si="21"/>
        <v>480.18000000000006</v>
      </c>
      <c r="M55" s="30">
        <f>SUM(G55-H55)</f>
        <v>0</v>
      </c>
      <c r="N55" s="30">
        <f t="shared" si="22"/>
        <v>480.18000000000006</v>
      </c>
      <c r="O55" s="33">
        <v>0</v>
      </c>
      <c r="P55" s="31">
        <f t="shared" si="23"/>
        <v>1412.82</v>
      </c>
      <c r="Q55" s="32">
        <f t="shared" si="20"/>
        <v>0.74633914421553083</v>
      </c>
      <c r="R55" s="32">
        <f t="shared" si="2"/>
        <v>0.73586899101954573</v>
      </c>
      <c r="S55" s="32">
        <f t="shared" si="3"/>
        <v>0.74633914421553083</v>
      </c>
    </row>
    <row r="56" spans="1:237" x14ac:dyDescent="0.15">
      <c r="A56" s="34">
        <v>211</v>
      </c>
      <c r="B56" s="23" t="s">
        <v>98</v>
      </c>
      <c r="C56" s="25">
        <v>0</v>
      </c>
      <c r="D56" s="25">
        <v>0</v>
      </c>
      <c r="E56" s="25">
        <v>0</v>
      </c>
      <c r="F56" s="27">
        <f>39+2000</f>
        <v>2039</v>
      </c>
      <c r="G56" s="28">
        <f t="shared" si="24"/>
        <v>2039</v>
      </c>
      <c r="H56" s="25">
        <f>39+2000</f>
        <v>2039</v>
      </c>
      <c r="I56" s="25">
        <v>0</v>
      </c>
      <c r="J56" s="33">
        <v>0</v>
      </c>
      <c r="K56" s="48">
        <v>0</v>
      </c>
      <c r="L56" s="30">
        <f t="shared" si="21"/>
        <v>2039</v>
      </c>
      <c r="M56" s="30">
        <f>SUM(G56-H56)</f>
        <v>0</v>
      </c>
      <c r="N56" s="30">
        <f t="shared" si="22"/>
        <v>2039</v>
      </c>
      <c r="O56" s="33">
        <v>0</v>
      </c>
      <c r="P56" s="31">
        <f t="shared" si="23"/>
        <v>0</v>
      </c>
      <c r="Q56" s="32">
        <f t="shared" si="20"/>
        <v>0</v>
      </c>
      <c r="R56" s="32">
        <f t="shared" si="2"/>
        <v>0</v>
      </c>
      <c r="S56" s="32">
        <f t="shared" si="3"/>
        <v>0</v>
      </c>
    </row>
    <row r="57" spans="1:237" x14ac:dyDescent="0.15">
      <c r="A57" s="34">
        <v>212</v>
      </c>
      <c r="B57" s="23" t="s">
        <v>99</v>
      </c>
      <c r="C57" s="25">
        <v>0</v>
      </c>
      <c r="D57" s="25">
        <v>0</v>
      </c>
      <c r="E57" s="25">
        <v>0</v>
      </c>
      <c r="F57" s="27">
        <v>55</v>
      </c>
      <c r="G57" s="28">
        <f t="shared" si="24"/>
        <v>55</v>
      </c>
      <c r="H57" s="25">
        <v>55</v>
      </c>
      <c r="I57" s="25">
        <v>0</v>
      </c>
      <c r="J57" s="33">
        <f>42.79</f>
        <v>42.79</v>
      </c>
      <c r="K57" s="48">
        <f>42.79</f>
        <v>42.79</v>
      </c>
      <c r="L57" s="30">
        <f t="shared" si="21"/>
        <v>12.21</v>
      </c>
      <c r="M57" s="30">
        <f>SUM(G57-H57)</f>
        <v>0</v>
      </c>
      <c r="N57" s="30">
        <f t="shared" si="22"/>
        <v>12.21</v>
      </c>
      <c r="O57" s="33">
        <f>42.79</f>
        <v>42.79</v>
      </c>
      <c r="P57" s="31">
        <f t="shared" si="23"/>
        <v>0</v>
      </c>
      <c r="Q57" s="32">
        <f t="shared" si="20"/>
        <v>0.77800000000000002</v>
      </c>
      <c r="R57" s="32">
        <f t="shared" si="2"/>
        <v>0.77800000000000002</v>
      </c>
      <c r="S57" s="32">
        <f t="shared" si="3"/>
        <v>0.77800000000000002</v>
      </c>
    </row>
    <row r="58" spans="1:237" x14ac:dyDescent="0.15">
      <c r="A58" s="34">
        <v>214</v>
      </c>
      <c r="B58" s="23" t="s">
        <v>100</v>
      </c>
      <c r="C58" s="25">
        <v>0</v>
      </c>
      <c r="D58" s="25">
        <v>0</v>
      </c>
      <c r="E58" s="25">
        <v>0</v>
      </c>
      <c r="F58" s="25">
        <f>1000+1000</f>
        <v>2000</v>
      </c>
      <c r="G58" s="28">
        <f t="shared" si="24"/>
        <v>2000</v>
      </c>
      <c r="H58" s="25">
        <f>1000+1000</f>
        <v>2000</v>
      </c>
      <c r="I58" s="25">
        <v>0</v>
      </c>
      <c r="J58" s="25">
        <v>857.26</v>
      </c>
      <c r="K58" s="25">
        <v>857.26</v>
      </c>
      <c r="L58" s="30">
        <f t="shared" si="21"/>
        <v>1142.74</v>
      </c>
      <c r="M58" s="25">
        <v>0</v>
      </c>
      <c r="N58" s="30">
        <f t="shared" si="22"/>
        <v>1142.74</v>
      </c>
      <c r="O58" s="25">
        <v>0</v>
      </c>
      <c r="P58" s="31">
        <f t="shared" si="23"/>
        <v>857.26</v>
      </c>
      <c r="Q58" s="32">
        <f t="shared" si="20"/>
        <v>0.42863000000000001</v>
      </c>
      <c r="R58" s="32">
        <f t="shared" si="2"/>
        <v>0.42863000000000001</v>
      </c>
      <c r="S58" s="32">
        <f t="shared" si="3"/>
        <v>0.42863000000000001</v>
      </c>
    </row>
    <row r="59" spans="1:237" x14ac:dyDescent="0.15">
      <c r="A59" s="34" t="s">
        <v>101</v>
      </c>
      <c r="B59" s="23" t="s">
        <v>102</v>
      </c>
      <c r="C59" s="24">
        <v>10000</v>
      </c>
      <c r="D59" s="25">
        <v>0</v>
      </c>
      <c r="E59" s="26">
        <v>10000</v>
      </c>
      <c r="F59" s="27">
        <f>SUM(-4802-2698)</f>
        <v>-7500</v>
      </c>
      <c r="G59" s="28">
        <f t="shared" si="24"/>
        <v>2500</v>
      </c>
      <c r="H59" s="25">
        <f>SUM(5198-2698)</f>
        <v>2500</v>
      </c>
      <c r="I59" s="25">
        <v>0</v>
      </c>
      <c r="J59" s="24">
        <f>SUM(2500)</f>
        <v>2500</v>
      </c>
      <c r="K59" s="48">
        <f>(3000-500)</f>
        <v>2500</v>
      </c>
      <c r="L59" s="30">
        <f t="shared" si="21"/>
        <v>0</v>
      </c>
      <c r="M59" s="30">
        <f t="shared" ref="M59:M66" si="25">SUM(G59-H59)</f>
        <v>0</v>
      </c>
      <c r="N59" s="30">
        <f t="shared" si="22"/>
        <v>0</v>
      </c>
      <c r="O59" s="33">
        <f>1231.33+325.38+421.39+0.3+353</f>
        <v>2331.3999999999996</v>
      </c>
      <c r="P59" s="31">
        <f t="shared" si="23"/>
        <v>168.60000000000036</v>
      </c>
      <c r="Q59" s="32">
        <f t="shared" si="20"/>
        <v>1</v>
      </c>
      <c r="R59" s="32">
        <f t="shared" si="2"/>
        <v>1</v>
      </c>
      <c r="S59" s="32">
        <f t="shared" si="3"/>
        <v>1</v>
      </c>
    </row>
    <row r="60" spans="1:237" x14ac:dyDescent="0.15">
      <c r="A60" s="34" t="s">
        <v>103</v>
      </c>
      <c r="B60" s="23" t="s">
        <v>104</v>
      </c>
      <c r="C60" s="24">
        <v>12120</v>
      </c>
      <c r="D60" s="25">
        <v>0</v>
      </c>
      <c r="E60" s="26">
        <v>12120</v>
      </c>
      <c r="F60" s="27">
        <f>-9620+2000</f>
        <v>-7620</v>
      </c>
      <c r="G60" s="28">
        <f t="shared" si="24"/>
        <v>4500</v>
      </c>
      <c r="H60" s="25">
        <f>SUM(12120-9620+2000)</f>
        <v>4500</v>
      </c>
      <c r="I60" s="25">
        <v>0</v>
      </c>
      <c r="J60" s="24">
        <f>SUM(2500+91.02)</f>
        <v>2591.02</v>
      </c>
      <c r="K60" s="48">
        <f>(3000-500+91.02)</f>
        <v>2591.02</v>
      </c>
      <c r="L60" s="30">
        <f t="shared" si="21"/>
        <v>1908.98</v>
      </c>
      <c r="M60" s="30">
        <f t="shared" si="25"/>
        <v>0</v>
      </c>
      <c r="N60" s="30">
        <f t="shared" si="22"/>
        <v>1908.98</v>
      </c>
      <c r="O60" s="33">
        <f>702.69+160.56+168.76+225.77</f>
        <v>1257.78</v>
      </c>
      <c r="P60" s="31">
        <f t="shared" si="23"/>
        <v>1333.24</v>
      </c>
      <c r="Q60" s="32">
        <f t="shared" si="20"/>
        <v>0.5757822222222222</v>
      </c>
      <c r="R60" s="32">
        <f t="shared" si="2"/>
        <v>0.5757822222222222</v>
      </c>
      <c r="S60" s="32">
        <f t="shared" si="3"/>
        <v>0.5757822222222222</v>
      </c>
    </row>
    <row r="61" spans="1:237" x14ac:dyDescent="0.15">
      <c r="A61" s="22" t="s">
        <v>105</v>
      </c>
      <c r="B61" s="23" t="s">
        <v>106</v>
      </c>
      <c r="C61" s="24">
        <v>2117</v>
      </c>
      <c r="D61" s="25">
        <v>0</v>
      </c>
      <c r="E61" s="26">
        <v>2117</v>
      </c>
      <c r="F61" s="27">
        <v>-1500</v>
      </c>
      <c r="G61" s="28">
        <f t="shared" si="24"/>
        <v>617</v>
      </c>
      <c r="H61" s="25">
        <f>SUM(2117-1500)</f>
        <v>617</v>
      </c>
      <c r="I61" s="25">
        <v>0</v>
      </c>
      <c r="J61" s="24">
        <f>SUM(47.72+49.22+40.66)</f>
        <v>137.6</v>
      </c>
      <c r="K61" s="48">
        <f>47.72+49.22+40.66</f>
        <v>137.6</v>
      </c>
      <c r="L61" s="30">
        <f t="shared" si="21"/>
        <v>479.4</v>
      </c>
      <c r="M61" s="30">
        <f t="shared" si="25"/>
        <v>0</v>
      </c>
      <c r="N61" s="30">
        <f t="shared" si="22"/>
        <v>479.4</v>
      </c>
      <c r="O61" s="33">
        <f>47.71+40.66</f>
        <v>88.37</v>
      </c>
      <c r="P61" s="31">
        <f t="shared" si="23"/>
        <v>49.22999999999999</v>
      </c>
      <c r="Q61" s="32">
        <f t="shared" si="20"/>
        <v>0.22301458670988653</v>
      </c>
      <c r="R61" s="32">
        <f t="shared" si="2"/>
        <v>0.22301458670988653</v>
      </c>
      <c r="S61" s="32">
        <f t="shared" si="3"/>
        <v>0.22301458670988653</v>
      </c>
    </row>
    <row r="62" spans="1:237" x14ac:dyDescent="0.15">
      <c r="A62" s="22">
        <v>231</v>
      </c>
      <c r="B62" s="23" t="s">
        <v>107</v>
      </c>
      <c r="C62" s="25">
        <v>0</v>
      </c>
      <c r="D62" s="25">
        <v>0</v>
      </c>
      <c r="E62" s="25">
        <v>0</v>
      </c>
      <c r="F62" s="27">
        <f>3000-1000</f>
        <v>2000</v>
      </c>
      <c r="G62" s="28">
        <f t="shared" si="24"/>
        <v>2000</v>
      </c>
      <c r="H62" s="25">
        <f>SUM(3000-1000)</f>
        <v>2000</v>
      </c>
      <c r="I62" s="25">
        <v>0</v>
      </c>
      <c r="J62" s="33">
        <v>722.79</v>
      </c>
      <c r="K62" s="48">
        <f>1722.79-1000</f>
        <v>722.79</v>
      </c>
      <c r="L62" s="30">
        <f t="shared" si="21"/>
        <v>1277.21</v>
      </c>
      <c r="M62" s="30">
        <f t="shared" si="25"/>
        <v>0</v>
      </c>
      <c r="N62" s="30">
        <f t="shared" si="22"/>
        <v>1277.21</v>
      </c>
      <c r="O62" s="33">
        <f>722.79</f>
        <v>722.79</v>
      </c>
      <c r="P62" s="31">
        <f t="shared" si="23"/>
        <v>0</v>
      </c>
      <c r="Q62" s="32">
        <f t="shared" si="20"/>
        <v>0.36139499999999997</v>
      </c>
      <c r="R62" s="32">
        <f t="shared" si="2"/>
        <v>0.36139499999999997</v>
      </c>
      <c r="S62" s="32">
        <f t="shared" si="3"/>
        <v>0.36139499999999997</v>
      </c>
    </row>
    <row r="63" spans="1:237" x14ac:dyDescent="0.15">
      <c r="A63" s="22" t="s">
        <v>108</v>
      </c>
      <c r="B63" s="23" t="s">
        <v>109</v>
      </c>
      <c r="C63" s="24">
        <v>5263</v>
      </c>
      <c r="D63" s="25">
        <v>0</v>
      </c>
      <c r="E63" s="26">
        <v>5263</v>
      </c>
      <c r="F63" s="27">
        <f>3000-2000+1000-2000-1000</f>
        <v>-1000</v>
      </c>
      <c r="G63" s="28">
        <f t="shared" si="24"/>
        <v>4263</v>
      </c>
      <c r="H63" s="25">
        <f>SUM(5000-1000+1263-1000)</f>
        <v>4263</v>
      </c>
      <c r="I63" s="25">
        <v>0</v>
      </c>
      <c r="J63" s="24">
        <f>SUM(326.46+1259.18+139.09+219.87)</f>
        <v>1944.6</v>
      </c>
      <c r="K63" s="48">
        <f>326.46+1259.18+139.09+219.87</f>
        <v>1944.6</v>
      </c>
      <c r="L63" s="30">
        <f t="shared" si="21"/>
        <v>2318.4</v>
      </c>
      <c r="M63" s="30">
        <f t="shared" si="25"/>
        <v>0</v>
      </c>
      <c r="N63" s="30">
        <f t="shared" si="22"/>
        <v>2318.4</v>
      </c>
      <c r="O63" s="33">
        <f>522.8+494.66+160</f>
        <v>1177.46</v>
      </c>
      <c r="P63" s="31">
        <f t="shared" si="23"/>
        <v>767.13999999999987</v>
      </c>
      <c r="Q63" s="32">
        <f t="shared" si="20"/>
        <v>0.45615763546798027</v>
      </c>
      <c r="R63" s="32">
        <f t="shared" si="2"/>
        <v>0.45615763546798027</v>
      </c>
      <c r="S63" s="32">
        <f t="shared" si="3"/>
        <v>0.45615763546798027</v>
      </c>
    </row>
    <row r="64" spans="1:237" x14ac:dyDescent="0.15">
      <c r="A64" s="22">
        <v>239</v>
      </c>
      <c r="B64" s="23" t="s">
        <v>110</v>
      </c>
      <c r="C64" s="25">
        <v>0</v>
      </c>
      <c r="D64" s="25">
        <v>0</v>
      </c>
      <c r="E64" s="25">
        <v>0</v>
      </c>
      <c r="F64" s="27">
        <f>3187-1000-1000</f>
        <v>1187</v>
      </c>
      <c r="G64" s="28">
        <f t="shared" si="24"/>
        <v>1187</v>
      </c>
      <c r="H64" s="25">
        <f>SUM(187+3000-1000-1000)</f>
        <v>1187</v>
      </c>
      <c r="I64" s="25">
        <v>0</v>
      </c>
      <c r="J64" s="24">
        <f>SUM(186.18+171.2)</f>
        <v>357.38</v>
      </c>
      <c r="K64" s="48">
        <f>171.2+186.18</f>
        <v>357.38</v>
      </c>
      <c r="L64" s="30">
        <f t="shared" si="21"/>
        <v>829.62</v>
      </c>
      <c r="M64" s="30">
        <f t="shared" si="25"/>
        <v>0</v>
      </c>
      <c r="N64" s="30">
        <f t="shared" si="22"/>
        <v>829.62</v>
      </c>
      <c r="O64" s="33">
        <v>186.18</v>
      </c>
      <c r="P64" s="31">
        <f t="shared" si="23"/>
        <v>171.2</v>
      </c>
      <c r="Q64" s="32">
        <f t="shared" si="20"/>
        <v>0.30107834877843304</v>
      </c>
      <c r="R64" s="32">
        <f t="shared" si="2"/>
        <v>0.30107834877843304</v>
      </c>
      <c r="S64" s="32">
        <f t="shared" si="3"/>
        <v>0.30107834877843304</v>
      </c>
    </row>
    <row r="65" spans="1:19" x14ac:dyDescent="0.15">
      <c r="A65" s="22">
        <v>242</v>
      </c>
      <c r="B65" s="23" t="s">
        <v>111</v>
      </c>
      <c r="C65" s="25">
        <v>0</v>
      </c>
      <c r="D65" s="25">
        <v>0</v>
      </c>
      <c r="E65" s="25">
        <v>0</v>
      </c>
      <c r="F65" s="27">
        <f>260+100+1500-1103</f>
        <v>757</v>
      </c>
      <c r="G65" s="28">
        <f t="shared" si="24"/>
        <v>757</v>
      </c>
      <c r="H65" s="25">
        <f>260+100+1500-1103</f>
        <v>757</v>
      </c>
      <c r="I65" s="25">
        <v>0</v>
      </c>
      <c r="J65" s="24">
        <f>259.54+428+69.25</f>
        <v>756.79</v>
      </c>
      <c r="K65" s="48">
        <f>259.54+428+69.25</f>
        <v>756.79</v>
      </c>
      <c r="L65" s="30">
        <f t="shared" si="21"/>
        <v>0.21000000000003638</v>
      </c>
      <c r="M65" s="30">
        <f t="shared" si="25"/>
        <v>0</v>
      </c>
      <c r="N65" s="30">
        <f t="shared" si="22"/>
        <v>0.21000000000003638</v>
      </c>
      <c r="O65" s="25">
        <f>259.54+428+69.25</f>
        <v>756.79</v>
      </c>
      <c r="P65" s="31">
        <f t="shared" si="23"/>
        <v>0</v>
      </c>
      <c r="Q65" s="32">
        <f t="shared" si="20"/>
        <v>0.99972258916776746</v>
      </c>
      <c r="R65" s="32">
        <f t="shared" si="2"/>
        <v>0.99972258916776746</v>
      </c>
      <c r="S65" s="32">
        <f t="shared" si="3"/>
        <v>0.99972258916776746</v>
      </c>
    </row>
    <row r="66" spans="1:19" x14ac:dyDescent="0.15">
      <c r="A66" s="22" t="s">
        <v>112</v>
      </c>
      <c r="B66" s="23" t="s">
        <v>113</v>
      </c>
      <c r="C66" s="24">
        <v>2097</v>
      </c>
      <c r="D66" s="25">
        <v>0</v>
      </c>
      <c r="E66" s="26">
        <v>2097</v>
      </c>
      <c r="F66" s="27">
        <f>35-654</f>
        <v>-619</v>
      </c>
      <c r="G66" s="28">
        <f t="shared" si="24"/>
        <v>1478</v>
      </c>
      <c r="H66" s="25">
        <f>SUM(132+2000-654)</f>
        <v>1478</v>
      </c>
      <c r="I66" s="25">
        <v>0</v>
      </c>
      <c r="J66" s="25">
        <f>SUM(130+1325.73+21.4)</f>
        <v>1477.13</v>
      </c>
      <c r="K66" s="48">
        <f>130+1325.73+21.4</f>
        <v>1477.13</v>
      </c>
      <c r="L66" s="30">
        <f t="shared" si="21"/>
        <v>0.86999999999989086</v>
      </c>
      <c r="M66" s="30">
        <f t="shared" si="25"/>
        <v>0</v>
      </c>
      <c r="N66" s="30">
        <f t="shared" si="22"/>
        <v>0.86999999999989086</v>
      </c>
      <c r="O66" s="33">
        <f>130+1325.73</f>
        <v>1455.73</v>
      </c>
      <c r="P66" s="31">
        <f t="shared" si="23"/>
        <v>21.400000000000091</v>
      </c>
      <c r="Q66" s="32">
        <f t="shared" si="20"/>
        <v>0.99941136671177278</v>
      </c>
      <c r="R66" s="32">
        <f t="shared" si="2"/>
        <v>0.99941136671177278</v>
      </c>
      <c r="S66" s="32">
        <f t="shared" si="3"/>
        <v>0.99941136671177278</v>
      </c>
    </row>
    <row r="67" spans="1:19" x14ac:dyDescent="0.15">
      <c r="A67" s="22">
        <v>244</v>
      </c>
      <c r="B67" s="23" t="s">
        <v>114</v>
      </c>
      <c r="C67" s="24"/>
      <c r="D67" s="25"/>
      <c r="E67" s="26"/>
      <c r="F67" s="27">
        <f>100</f>
        <v>100</v>
      </c>
      <c r="G67" s="28">
        <f t="shared" si="24"/>
        <v>100</v>
      </c>
      <c r="H67" s="25">
        <f>100</f>
        <v>100</v>
      </c>
      <c r="I67" s="25"/>
      <c r="J67" s="25"/>
      <c r="K67" s="48">
        <f>24</f>
        <v>24</v>
      </c>
      <c r="L67" s="30">
        <f t="shared" si="21"/>
        <v>76</v>
      </c>
      <c r="M67" s="30"/>
      <c r="N67" s="30">
        <f t="shared" si="22"/>
        <v>76</v>
      </c>
      <c r="O67" s="33"/>
      <c r="P67" s="31">
        <f t="shared" si="23"/>
        <v>24</v>
      </c>
      <c r="Q67" s="32">
        <f t="shared" si="20"/>
        <v>0.24</v>
      </c>
      <c r="R67" s="32">
        <f t="shared" si="2"/>
        <v>0</v>
      </c>
      <c r="S67" s="32">
        <f t="shared" si="3"/>
        <v>0.24</v>
      </c>
    </row>
    <row r="68" spans="1:19" x14ac:dyDescent="0.15">
      <c r="A68" s="34" t="s">
        <v>115</v>
      </c>
      <c r="B68" s="23" t="s">
        <v>116</v>
      </c>
      <c r="C68" s="25">
        <v>0</v>
      </c>
      <c r="D68" s="25">
        <v>0</v>
      </c>
      <c r="E68" s="25">
        <v>0</v>
      </c>
      <c r="F68" s="27">
        <f>798+1570+1500-698</f>
        <v>3170</v>
      </c>
      <c r="G68" s="28">
        <f t="shared" si="24"/>
        <v>3170</v>
      </c>
      <c r="H68" s="25">
        <f>SUM(766+32+1570+1500-698)</f>
        <v>3170</v>
      </c>
      <c r="I68" s="25">
        <v>0</v>
      </c>
      <c r="J68" s="24">
        <f>SUM(765.8+31.95+1164.25-1104.65+935.05+12.84)</f>
        <v>1805.2399999999998</v>
      </c>
      <c r="K68" s="48">
        <f>797.75+1164.25+59.6+935.05+12.84+22.92</f>
        <v>2992.41</v>
      </c>
      <c r="L68" s="30">
        <f t="shared" si="21"/>
        <v>177.59000000000015</v>
      </c>
      <c r="M68" s="30">
        <f>SUM(G68-H68)</f>
        <v>0</v>
      </c>
      <c r="N68" s="30">
        <f t="shared" si="22"/>
        <v>177.59000000000015</v>
      </c>
      <c r="O68" s="33">
        <f>31.95+765.8+59.6+41+698.24</f>
        <v>1596.5900000000001</v>
      </c>
      <c r="P68" s="31">
        <f t="shared" si="23"/>
        <v>1395.8199999999997</v>
      </c>
      <c r="Q68" s="32">
        <f t="shared" si="20"/>
        <v>0.94397791798107256</v>
      </c>
      <c r="R68" s="32">
        <f t="shared" si="2"/>
        <v>0.56947634069400621</v>
      </c>
      <c r="S68" s="32">
        <f t="shared" si="3"/>
        <v>0.94397791798107256</v>
      </c>
    </row>
    <row r="69" spans="1:19" x14ac:dyDescent="0.15">
      <c r="A69" s="34">
        <v>252</v>
      </c>
      <c r="B69" s="23" t="s">
        <v>117</v>
      </c>
      <c r="C69" s="25">
        <v>0</v>
      </c>
      <c r="D69" s="25">
        <v>0</v>
      </c>
      <c r="E69" s="25">
        <v>0</v>
      </c>
      <c r="F69" s="27">
        <f>300-286</f>
        <v>14</v>
      </c>
      <c r="G69" s="28">
        <f t="shared" si="24"/>
        <v>14</v>
      </c>
      <c r="H69" s="25">
        <f>300-286</f>
        <v>14</v>
      </c>
      <c r="I69" s="25"/>
      <c r="J69" s="24">
        <f>13.91</f>
        <v>13.91</v>
      </c>
      <c r="K69" s="48">
        <f>13.91</f>
        <v>13.91</v>
      </c>
      <c r="L69" s="30">
        <f t="shared" si="21"/>
        <v>8.9999999999999858E-2</v>
      </c>
      <c r="M69" s="30"/>
      <c r="N69" s="30">
        <f t="shared" si="22"/>
        <v>8.9999999999999858E-2</v>
      </c>
      <c r="O69" s="33">
        <v>0</v>
      </c>
      <c r="P69" s="31">
        <f t="shared" si="23"/>
        <v>13.91</v>
      </c>
      <c r="Q69" s="32">
        <f t="shared" si="20"/>
        <v>0.99357142857142855</v>
      </c>
      <c r="R69" s="32">
        <f t="shared" si="2"/>
        <v>0.99357142857142855</v>
      </c>
      <c r="S69" s="32">
        <f t="shared" si="3"/>
        <v>0.99357142857142855</v>
      </c>
    </row>
    <row r="70" spans="1:19" x14ac:dyDescent="0.15">
      <c r="A70" s="22" t="s">
        <v>118</v>
      </c>
      <c r="B70" s="23" t="s">
        <v>119</v>
      </c>
      <c r="C70" s="24">
        <v>280</v>
      </c>
      <c r="D70" s="25">
        <v>0</v>
      </c>
      <c r="E70" s="26">
        <v>280</v>
      </c>
      <c r="F70" s="27">
        <f>10-136</f>
        <v>-126</v>
      </c>
      <c r="G70" s="28">
        <f t="shared" si="24"/>
        <v>154</v>
      </c>
      <c r="H70" s="25">
        <f>SUM(10+280-136)</f>
        <v>154</v>
      </c>
      <c r="I70" s="25">
        <v>0</v>
      </c>
      <c r="J70" s="24">
        <f>SUM(9.16+144.45)</f>
        <v>153.60999999999999</v>
      </c>
      <c r="K70" s="48">
        <f>9.16+144.45</f>
        <v>153.60999999999999</v>
      </c>
      <c r="L70" s="30">
        <f t="shared" si="21"/>
        <v>0.39000000000001478</v>
      </c>
      <c r="M70" s="30">
        <f t="shared" ref="M70:M85" si="26">SUM(G70-H70)</f>
        <v>0</v>
      </c>
      <c r="N70" s="30">
        <f t="shared" si="22"/>
        <v>0.39000000000001478</v>
      </c>
      <c r="O70" s="33">
        <f>9.15+144.45</f>
        <v>153.6</v>
      </c>
      <c r="P70" s="31">
        <f t="shared" si="23"/>
        <v>9.9999999999909051E-3</v>
      </c>
      <c r="Q70" s="32">
        <f t="shared" si="20"/>
        <v>0.99746753246753239</v>
      </c>
      <c r="R70" s="32">
        <f t="shared" si="2"/>
        <v>0.99746753246753239</v>
      </c>
      <c r="S70" s="32">
        <f t="shared" si="3"/>
        <v>0.99746753246753239</v>
      </c>
    </row>
    <row r="71" spans="1:19" x14ac:dyDescent="0.15">
      <c r="A71" s="22" t="s">
        <v>120</v>
      </c>
      <c r="B71" s="23" t="s">
        <v>121</v>
      </c>
      <c r="C71" s="24">
        <v>1000</v>
      </c>
      <c r="D71" s="25">
        <v>0</v>
      </c>
      <c r="E71" s="26">
        <v>1000</v>
      </c>
      <c r="F71" s="27">
        <f>1100-986</f>
        <v>114</v>
      </c>
      <c r="G71" s="28">
        <f t="shared" si="24"/>
        <v>1114</v>
      </c>
      <c r="H71" s="25">
        <f>500+1600-986</f>
        <v>1114</v>
      </c>
      <c r="I71" s="25">
        <v>0</v>
      </c>
      <c r="J71" s="24">
        <f>20.32+989.25+41.09+42.83</f>
        <v>1093.49</v>
      </c>
      <c r="K71" s="48">
        <f>40.64+989.25+41.09+42.83</f>
        <v>1113.81</v>
      </c>
      <c r="L71" s="30">
        <f t="shared" si="21"/>
        <v>0.19000000000005457</v>
      </c>
      <c r="M71" s="30">
        <f t="shared" si="26"/>
        <v>0</v>
      </c>
      <c r="N71" s="30">
        <f t="shared" si="22"/>
        <v>0.19000000000005457</v>
      </c>
      <c r="O71" s="33">
        <f>20.32+824.15+165.1</f>
        <v>1009.57</v>
      </c>
      <c r="P71" s="31">
        <f t="shared" si="23"/>
        <v>104.2399999999999</v>
      </c>
      <c r="Q71" s="32">
        <f t="shared" si="20"/>
        <v>0.99982944344703761</v>
      </c>
      <c r="R71" s="32">
        <f t="shared" ref="R71:R93" si="27">SUM(J71/G71*100%)</f>
        <v>0.98158886894075403</v>
      </c>
      <c r="S71" s="32">
        <f t="shared" ref="S71:S93" si="28">SUM(K71/G71*100%)</f>
        <v>0.99982944344703761</v>
      </c>
    </row>
    <row r="72" spans="1:19" x14ac:dyDescent="0.15">
      <c r="A72" s="22" t="s">
        <v>122</v>
      </c>
      <c r="B72" s="23" t="s">
        <v>123</v>
      </c>
      <c r="C72" s="24">
        <v>1000</v>
      </c>
      <c r="D72" s="25">
        <v>0</v>
      </c>
      <c r="E72" s="26">
        <v>1000</v>
      </c>
      <c r="F72" s="27">
        <f>2000-76+1000-208</f>
        <v>2716</v>
      </c>
      <c r="G72" s="28">
        <f t="shared" si="24"/>
        <v>3716</v>
      </c>
      <c r="H72" s="25">
        <f>SUM(2000-76+500+1500-208)</f>
        <v>3716</v>
      </c>
      <c r="I72" s="25">
        <v>0</v>
      </c>
      <c r="J72" s="24">
        <f>106.93+3431.17+177.76</f>
        <v>3715.8599999999997</v>
      </c>
      <c r="K72" s="48">
        <f>106.93+3431.17+177.76</f>
        <v>3715.8599999999997</v>
      </c>
      <c r="L72" s="30">
        <f t="shared" si="21"/>
        <v>0.14000000000032742</v>
      </c>
      <c r="M72" s="30">
        <f t="shared" si="26"/>
        <v>0</v>
      </c>
      <c r="N72" s="30">
        <f t="shared" si="22"/>
        <v>0.14000000000032742</v>
      </c>
      <c r="O72" s="33">
        <f>106.93+145.25+3259.16</f>
        <v>3511.3399999999997</v>
      </c>
      <c r="P72" s="31">
        <f t="shared" si="23"/>
        <v>204.51999999999998</v>
      </c>
      <c r="Q72" s="32">
        <f t="shared" si="20"/>
        <v>0.99996232508073191</v>
      </c>
      <c r="R72" s="32">
        <f t="shared" si="27"/>
        <v>0.99996232508073191</v>
      </c>
      <c r="S72" s="32">
        <f t="shared" si="28"/>
        <v>0.99996232508073191</v>
      </c>
    </row>
    <row r="73" spans="1:19" x14ac:dyDescent="0.15">
      <c r="A73" s="22">
        <v>256</v>
      </c>
      <c r="B73" s="23" t="s">
        <v>124</v>
      </c>
      <c r="C73" s="25">
        <v>0</v>
      </c>
      <c r="D73" s="25">
        <v>0</v>
      </c>
      <c r="E73" s="25">
        <v>0</v>
      </c>
      <c r="F73" s="27">
        <f>2035-1000-300-124</f>
        <v>611</v>
      </c>
      <c r="G73" s="28">
        <f t="shared" si="24"/>
        <v>611</v>
      </c>
      <c r="H73" s="25">
        <f>SUM(2035-1000-300-124)</f>
        <v>611</v>
      </c>
      <c r="I73" s="25">
        <v>0</v>
      </c>
      <c r="J73" s="24">
        <f>SUM(34.49+3.51+551.05+11.78+6.41)</f>
        <v>607.2399999999999</v>
      </c>
      <c r="K73" s="48">
        <f>34.49+7.02+551.05+11.78+6.41</f>
        <v>610.74999999999989</v>
      </c>
      <c r="L73" s="30">
        <f t="shared" si="21"/>
        <v>0.25000000000011369</v>
      </c>
      <c r="M73" s="30">
        <f t="shared" si="26"/>
        <v>0</v>
      </c>
      <c r="N73" s="30">
        <f t="shared" si="22"/>
        <v>0.25000000000011369</v>
      </c>
      <c r="O73" s="33">
        <f>34.49+3.51+551.05</f>
        <v>589.04999999999995</v>
      </c>
      <c r="P73" s="31">
        <f t="shared" si="23"/>
        <v>21.699999999999932</v>
      </c>
      <c r="Q73" s="32">
        <f t="shared" si="20"/>
        <v>0.99959083469721755</v>
      </c>
      <c r="R73" s="32">
        <f t="shared" si="27"/>
        <v>0.99384615384615371</v>
      </c>
      <c r="S73" s="32">
        <f t="shared" si="28"/>
        <v>0.99959083469721755</v>
      </c>
    </row>
    <row r="74" spans="1:19" x14ac:dyDescent="0.15">
      <c r="A74" s="22">
        <v>259</v>
      </c>
      <c r="B74" s="23" t="s">
        <v>125</v>
      </c>
      <c r="C74" s="24">
        <v>1000</v>
      </c>
      <c r="D74" s="25">
        <v>0</v>
      </c>
      <c r="E74" s="26">
        <v>1000</v>
      </c>
      <c r="F74" s="27">
        <f>100-297</f>
        <v>-197</v>
      </c>
      <c r="G74" s="28">
        <f t="shared" si="24"/>
        <v>803</v>
      </c>
      <c r="H74" s="25">
        <f>SUM(300-300+100+500+500-297)</f>
        <v>803</v>
      </c>
      <c r="I74" s="25">
        <v>0</v>
      </c>
      <c r="J74" s="24">
        <f>SUM(98.23+391.53+312.63)</f>
        <v>802.39</v>
      </c>
      <c r="K74" s="48">
        <f>98.23+391.53+312.63</f>
        <v>802.39</v>
      </c>
      <c r="L74" s="30">
        <f t="shared" si="21"/>
        <v>0.61000000000001364</v>
      </c>
      <c r="M74" s="30">
        <f t="shared" si="26"/>
        <v>0</v>
      </c>
      <c r="N74" s="30">
        <f t="shared" si="22"/>
        <v>0.61000000000001364</v>
      </c>
      <c r="O74" s="25">
        <f>98.23+150.57+240.96</f>
        <v>489.76</v>
      </c>
      <c r="P74" s="31">
        <f t="shared" si="23"/>
        <v>312.63</v>
      </c>
      <c r="Q74" s="32">
        <f t="shared" si="20"/>
        <v>0.99924034869240352</v>
      </c>
      <c r="R74" s="32">
        <f t="shared" si="27"/>
        <v>0.99924034869240352</v>
      </c>
      <c r="S74" s="32">
        <f t="shared" si="28"/>
        <v>0.99924034869240352</v>
      </c>
    </row>
    <row r="75" spans="1:19" x14ac:dyDescent="0.15">
      <c r="A75" s="22" t="s">
        <v>126</v>
      </c>
      <c r="B75" s="23" t="s">
        <v>127</v>
      </c>
      <c r="C75" s="25">
        <v>0</v>
      </c>
      <c r="D75" s="25">
        <v>0</v>
      </c>
      <c r="E75" s="25">
        <v>0</v>
      </c>
      <c r="F75" s="27">
        <v>792</v>
      </c>
      <c r="G75" s="28">
        <f t="shared" si="24"/>
        <v>792</v>
      </c>
      <c r="H75" s="25">
        <v>792</v>
      </c>
      <c r="I75" s="25">
        <v>0</v>
      </c>
      <c r="J75" s="24">
        <f>SUM(791.8)</f>
        <v>791.8</v>
      </c>
      <c r="K75" s="48">
        <f>(791.8)</f>
        <v>791.8</v>
      </c>
      <c r="L75" s="30">
        <f t="shared" si="21"/>
        <v>0.20000000000004547</v>
      </c>
      <c r="M75" s="30">
        <f t="shared" si="26"/>
        <v>0</v>
      </c>
      <c r="N75" s="30">
        <f t="shared" si="22"/>
        <v>0.20000000000004547</v>
      </c>
      <c r="O75" s="33">
        <v>791.8</v>
      </c>
      <c r="P75" s="31">
        <f t="shared" si="23"/>
        <v>0</v>
      </c>
      <c r="Q75" s="32">
        <f t="shared" si="20"/>
        <v>0.99974747474747472</v>
      </c>
      <c r="R75" s="32">
        <f t="shared" si="27"/>
        <v>0.99974747474747472</v>
      </c>
      <c r="S75" s="32">
        <f t="shared" si="28"/>
        <v>0.99974747474747472</v>
      </c>
    </row>
    <row r="76" spans="1:19" x14ac:dyDescent="0.15">
      <c r="A76" s="22">
        <v>262</v>
      </c>
      <c r="B76" s="23" t="s">
        <v>128</v>
      </c>
      <c r="C76" s="25">
        <v>0</v>
      </c>
      <c r="D76" s="25">
        <v>0</v>
      </c>
      <c r="E76" s="25">
        <v>0</v>
      </c>
      <c r="F76" s="27">
        <f>267+200</f>
        <v>467</v>
      </c>
      <c r="G76" s="28">
        <f t="shared" si="24"/>
        <v>467</v>
      </c>
      <c r="H76" s="25">
        <f>267+200</f>
        <v>467</v>
      </c>
      <c r="I76" s="25">
        <v>0</v>
      </c>
      <c r="J76" s="33">
        <f>10.67+159.91+9.63</f>
        <v>180.20999999999998</v>
      </c>
      <c r="K76" s="48">
        <f>21.34+159.91+9.63</f>
        <v>190.88</v>
      </c>
      <c r="L76" s="30">
        <f t="shared" si="21"/>
        <v>276.12</v>
      </c>
      <c r="M76" s="30">
        <f t="shared" si="26"/>
        <v>0</v>
      </c>
      <c r="N76" s="30">
        <f t="shared" si="22"/>
        <v>276.12</v>
      </c>
      <c r="O76" s="33">
        <f>10.67+159.91</f>
        <v>170.57999999999998</v>
      </c>
      <c r="P76" s="31">
        <f t="shared" si="23"/>
        <v>20.300000000000011</v>
      </c>
      <c r="Q76" s="32">
        <f t="shared" si="20"/>
        <v>0.40873661670235545</v>
      </c>
      <c r="R76" s="32">
        <f t="shared" si="27"/>
        <v>0.38588865096359737</v>
      </c>
      <c r="S76" s="32">
        <f t="shared" si="28"/>
        <v>0.40873661670235545</v>
      </c>
    </row>
    <row r="77" spans="1:19" x14ac:dyDescent="0.15">
      <c r="A77" s="34" t="s">
        <v>129</v>
      </c>
      <c r="B77" s="23" t="s">
        <v>130</v>
      </c>
      <c r="C77" s="24">
        <v>2501</v>
      </c>
      <c r="D77" s="25">
        <v>0</v>
      </c>
      <c r="E77" s="26">
        <v>2501</v>
      </c>
      <c r="F77" s="27">
        <f>6000-5000-500</f>
        <v>500</v>
      </c>
      <c r="G77" s="28">
        <f t="shared" si="24"/>
        <v>3001</v>
      </c>
      <c r="H77" s="25">
        <f>SUM(6501+499-3499-500)</f>
        <v>3001</v>
      </c>
      <c r="I77" s="25">
        <v>0</v>
      </c>
      <c r="J77" s="24">
        <f>157.33+359.09-91.59+320.14</f>
        <v>744.96999999999991</v>
      </c>
      <c r="K77" s="48">
        <f>157.33+359.09-91.59+320.14</f>
        <v>744.96999999999991</v>
      </c>
      <c r="L77" s="30">
        <f t="shared" si="21"/>
        <v>2256.0300000000002</v>
      </c>
      <c r="M77" s="30">
        <f t="shared" si="26"/>
        <v>0</v>
      </c>
      <c r="N77" s="30">
        <f t="shared" si="22"/>
        <v>2256.0300000000002</v>
      </c>
      <c r="O77" s="33">
        <f>67.36+267.5+213.66</f>
        <v>548.52</v>
      </c>
      <c r="P77" s="31">
        <f t="shared" si="23"/>
        <v>196.44999999999993</v>
      </c>
      <c r="Q77" s="32">
        <f t="shared" si="20"/>
        <v>0.24824058647117625</v>
      </c>
      <c r="R77" s="32">
        <f t="shared" si="27"/>
        <v>0.24824058647117625</v>
      </c>
      <c r="S77" s="32">
        <f t="shared" si="28"/>
        <v>0.24824058647117625</v>
      </c>
    </row>
    <row r="78" spans="1:19" x14ac:dyDescent="0.15">
      <c r="A78" s="22" t="s">
        <v>131</v>
      </c>
      <c r="B78" s="23" t="s">
        <v>132</v>
      </c>
      <c r="C78" s="25">
        <v>0</v>
      </c>
      <c r="D78" s="25">
        <v>0</v>
      </c>
      <c r="E78" s="25">
        <v>0</v>
      </c>
      <c r="F78" s="27">
        <f>3259-1100+500+6500</f>
        <v>9159</v>
      </c>
      <c r="G78" s="28">
        <f t="shared" si="24"/>
        <v>9159</v>
      </c>
      <c r="H78" s="25">
        <f>SUM(553+2706-1100+500+500+6000)</f>
        <v>9159</v>
      </c>
      <c r="I78" s="25">
        <v>0</v>
      </c>
      <c r="J78" s="24">
        <f>SUM(552.12+205.65+58.56+1296.45+59.4+3932.25)</f>
        <v>6104.43</v>
      </c>
      <c r="K78" s="48">
        <f>757.77+58.56+1296.45+59.4+3940.81</f>
        <v>6112.99</v>
      </c>
      <c r="L78" s="30">
        <f t="shared" si="21"/>
        <v>3046.01</v>
      </c>
      <c r="M78" s="30">
        <f t="shared" si="26"/>
        <v>0</v>
      </c>
      <c r="N78" s="30">
        <f t="shared" si="22"/>
        <v>3046.01</v>
      </c>
      <c r="O78" s="33">
        <f>615.25+70.62+130.46+7.66+496.32</f>
        <v>1320.31</v>
      </c>
      <c r="P78" s="31">
        <f t="shared" si="23"/>
        <v>4792.68</v>
      </c>
      <c r="Q78" s="32">
        <f t="shared" si="20"/>
        <v>0.66742985042035152</v>
      </c>
      <c r="R78" s="32">
        <f t="shared" si="27"/>
        <v>0.66649525057320669</v>
      </c>
      <c r="S78" s="32">
        <f t="shared" si="28"/>
        <v>0.66742985042035152</v>
      </c>
    </row>
    <row r="79" spans="1:19" x14ac:dyDescent="0.15">
      <c r="A79" s="22" t="s">
        <v>133</v>
      </c>
      <c r="B79" s="23" t="s">
        <v>134</v>
      </c>
      <c r="C79" s="24">
        <v>1000</v>
      </c>
      <c r="D79" s="25">
        <v>0</v>
      </c>
      <c r="E79" s="26">
        <v>1000</v>
      </c>
      <c r="F79" s="27">
        <f>200-300-200-700</f>
        <v>-1000</v>
      </c>
      <c r="G79" s="28">
        <f t="shared" si="24"/>
        <v>0</v>
      </c>
      <c r="H79" s="25">
        <f>SUM(700+250-250-700)</f>
        <v>0</v>
      </c>
      <c r="I79" s="25">
        <v>0</v>
      </c>
      <c r="J79" s="24">
        <v>0</v>
      </c>
      <c r="K79" s="48">
        <v>0</v>
      </c>
      <c r="L79" s="30">
        <f t="shared" si="21"/>
        <v>0</v>
      </c>
      <c r="M79" s="30">
        <f t="shared" si="26"/>
        <v>0</v>
      </c>
      <c r="N79" s="30">
        <f t="shared" si="22"/>
        <v>0</v>
      </c>
      <c r="O79" s="33">
        <v>0</v>
      </c>
      <c r="P79" s="31">
        <f t="shared" si="23"/>
        <v>0</v>
      </c>
      <c r="Q79" s="32">
        <v>0</v>
      </c>
      <c r="R79" s="32">
        <v>0</v>
      </c>
      <c r="S79" s="32">
        <v>0</v>
      </c>
    </row>
    <row r="80" spans="1:19" x14ac:dyDescent="0.15">
      <c r="A80" s="22" t="s">
        <v>135</v>
      </c>
      <c r="B80" s="23" t="s">
        <v>136</v>
      </c>
      <c r="C80" s="24">
        <v>237</v>
      </c>
      <c r="D80" s="25">
        <v>0</v>
      </c>
      <c r="E80" s="26">
        <v>237</v>
      </c>
      <c r="F80" s="27">
        <f>171+2000+1500+1000</f>
        <v>4671</v>
      </c>
      <c r="G80" s="28">
        <f t="shared" si="24"/>
        <v>4908</v>
      </c>
      <c r="H80" s="25">
        <f>SUM(237+171+2000+1500+1000)</f>
        <v>4908</v>
      </c>
      <c r="I80" s="25">
        <v>0</v>
      </c>
      <c r="J80" s="24">
        <f>406.19+1310.94-769.09+1049.3+105.92-26-0.48+26.48</f>
        <v>2103.2600000000002</v>
      </c>
      <c r="K80" s="48">
        <f>406.19+1310.94+541.85+1049.3+105.92-26-0.48+29.25</f>
        <v>3416.97</v>
      </c>
      <c r="L80" s="30">
        <f t="shared" si="21"/>
        <v>1491.0300000000002</v>
      </c>
      <c r="M80" s="30">
        <f t="shared" si="26"/>
        <v>0</v>
      </c>
      <c r="N80" s="30">
        <f t="shared" si="22"/>
        <v>1491.0300000000002</v>
      </c>
      <c r="O80" s="33">
        <f>406.19+541.85+862.74</f>
        <v>1810.78</v>
      </c>
      <c r="P80" s="31">
        <f t="shared" si="23"/>
        <v>1606.1899999999998</v>
      </c>
      <c r="Q80" s="32">
        <f t="shared" si="20"/>
        <v>0.69620415647921752</v>
      </c>
      <c r="R80" s="32">
        <f t="shared" si="27"/>
        <v>0.42853708231458848</v>
      </c>
      <c r="S80" s="32">
        <f t="shared" si="28"/>
        <v>0.69620415647921752</v>
      </c>
    </row>
    <row r="81" spans="1:44" x14ac:dyDescent="0.15">
      <c r="A81" s="22" t="s">
        <v>137</v>
      </c>
      <c r="B81" s="23" t="s">
        <v>138</v>
      </c>
      <c r="C81" s="24">
        <v>6000</v>
      </c>
      <c r="D81" s="25">
        <v>0</v>
      </c>
      <c r="E81" s="26">
        <v>6000</v>
      </c>
      <c r="F81" s="27">
        <f>4371+1600-2500-1500</f>
        <v>1971</v>
      </c>
      <c r="G81" s="28">
        <f t="shared" si="24"/>
        <v>7971</v>
      </c>
      <c r="H81" s="25">
        <f>SUM(3000-429+4800+1600-1000+1500-1500)</f>
        <v>7971</v>
      </c>
      <c r="I81" s="25">
        <v>0</v>
      </c>
      <c r="J81" s="24">
        <f>SUM(1588.12+111.97+1226.36+37.07+3907.31-266.51-1316.5)</f>
        <v>5287.82</v>
      </c>
      <c r="K81" s="48">
        <f>1700.09+161.91+1064.45+44.13+3907.31-266.51</f>
        <v>6611.3799999999992</v>
      </c>
      <c r="L81" s="30">
        <f t="shared" si="21"/>
        <v>1359.6200000000008</v>
      </c>
      <c r="M81" s="30">
        <f t="shared" si="26"/>
        <v>0</v>
      </c>
      <c r="N81" s="30">
        <f t="shared" si="22"/>
        <v>1359.6200000000008</v>
      </c>
      <c r="O81" s="25">
        <f>271.62+183.74+149.02+3907.31+2.4</f>
        <v>4514.0899999999992</v>
      </c>
      <c r="P81" s="31">
        <f t="shared" si="23"/>
        <v>2097.29</v>
      </c>
      <c r="Q81" s="32">
        <f t="shared" si="20"/>
        <v>0.82942918078032857</v>
      </c>
      <c r="R81" s="32">
        <f t="shared" si="27"/>
        <v>0.66338226069501938</v>
      </c>
      <c r="S81" s="32">
        <f t="shared" si="28"/>
        <v>0.82942918078032857</v>
      </c>
    </row>
    <row r="82" spans="1:44" x14ac:dyDescent="0.15">
      <c r="A82" s="22" t="s">
        <v>139</v>
      </c>
      <c r="B82" s="23" t="s">
        <v>140</v>
      </c>
      <c r="C82" s="24">
        <v>2500</v>
      </c>
      <c r="D82" s="25">
        <v>0</v>
      </c>
      <c r="E82" s="26">
        <v>2500</v>
      </c>
      <c r="F82" s="27">
        <f>2000-1000-1500</f>
        <v>-500</v>
      </c>
      <c r="G82" s="28">
        <f t="shared" si="24"/>
        <v>2000</v>
      </c>
      <c r="H82" s="25">
        <f>SUM(3000+500-1500)</f>
        <v>2000</v>
      </c>
      <c r="I82" s="25">
        <v>0</v>
      </c>
      <c r="J82" s="25">
        <f>258.94+414.09</f>
        <v>673.03</v>
      </c>
      <c r="K82" s="48">
        <f>2000-1741.06+414.09</f>
        <v>673.03</v>
      </c>
      <c r="L82" s="30">
        <f t="shared" si="21"/>
        <v>1326.97</v>
      </c>
      <c r="M82" s="30">
        <f t="shared" si="26"/>
        <v>0</v>
      </c>
      <c r="N82" s="30">
        <f t="shared" si="22"/>
        <v>1326.97</v>
      </c>
      <c r="O82" s="33">
        <f>258.94</f>
        <v>258.94</v>
      </c>
      <c r="P82" s="31">
        <f t="shared" si="23"/>
        <v>414.09</v>
      </c>
      <c r="Q82" s="32">
        <f t="shared" si="20"/>
        <v>0.33651500000000001</v>
      </c>
      <c r="R82" s="32">
        <f t="shared" si="27"/>
        <v>0.33651500000000001</v>
      </c>
      <c r="S82" s="32">
        <f t="shared" si="28"/>
        <v>0.33651500000000001</v>
      </c>
    </row>
    <row r="83" spans="1:44" x14ac:dyDescent="0.15">
      <c r="A83" s="34" t="s">
        <v>141</v>
      </c>
      <c r="B83" s="23" t="s">
        <v>142</v>
      </c>
      <c r="C83" s="24">
        <v>7020</v>
      </c>
      <c r="D83" s="25">
        <v>0</v>
      </c>
      <c r="E83" s="26">
        <v>7020</v>
      </c>
      <c r="F83" s="27">
        <f>2000-400-3000-1000</f>
        <v>-2400</v>
      </c>
      <c r="G83" s="28">
        <f t="shared" si="24"/>
        <v>4620</v>
      </c>
      <c r="H83" s="25">
        <f>SUM(5000-400+2000-980-1000)</f>
        <v>4620</v>
      </c>
      <c r="I83" s="25">
        <v>0</v>
      </c>
      <c r="J83" s="24">
        <f>SUM(423.19+419.44+806.67+99.46+199.68+25.09-25-0.09+25.09)</f>
        <v>1973.53</v>
      </c>
      <c r="K83" s="48">
        <f>423.19+509.41+1559.95+180.69+28.48+25.09-25-0.09+25.09</f>
        <v>2726.8100000000004</v>
      </c>
      <c r="L83" s="30">
        <f t="shared" si="21"/>
        <v>1893.1899999999996</v>
      </c>
      <c r="M83" s="30">
        <f t="shared" si="26"/>
        <v>0</v>
      </c>
      <c r="N83" s="30">
        <f t="shared" si="22"/>
        <v>1893.1899999999996</v>
      </c>
      <c r="O83" s="33">
        <f>783.24+56.66+59.39+242.48</f>
        <v>1141.77</v>
      </c>
      <c r="P83" s="31">
        <f t="shared" si="23"/>
        <v>1585.0400000000004</v>
      </c>
      <c r="Q83" s="32">
        <f t="shared" si="20"/>
        <v>0.59021861471861481</v>
      </c>
      <c r="R83" s="32">
        <f t="shared" si="27"/>
        <v>0.42717099567099565</v>
      </c>
      <c r="S83" s="32">
        <f t="shared" si="28"/>
        <v>0.59021861471861481</v>
      </c>
    </row>
    <row r="84" spans="1:44" x14ac:dyDescent="0.15">
      <c r="A84" s="22">
        <v>292</v>
      </c>
      <c r="B84" s="23" t="s">
        <v>143</v>
      </c>
      <c r="C84" s="25">
        <v>0</v>
      </c>
      <c r="D84" s="25">
        <v>0</v>
      </c>
      <c r="E84" s="25">
        <v>0</v>
      </c>
      <c r="F84" s="27">
        <v>69</v>
      </c>
      <c r="G84" s="28">
        <f t="shared" si="24"/>
        <v>69</v>
      </c>
      <c r="H84" s="25">
        <v>69</v>
      </c>
      <c r="I84" s="25">
        <v>0</v>
      </c>
      <c r="J84" s="33">
        <f>68.46</f>
        <v>68.459999999999994</v>
      </c>
      <c r="K84" s="48">
        <f>68.46-68.46+68.46</f>
        <v>68.459999999999994</v>
      </c>
      <c r="L84" s="30">
        <f t="shared" si="21"/>
        <v>0.54000000000000625</v>
      </c>
      <c r="M84" s="30">
        <f t="shared" si="26"/>
        <v>0</v>
      </c>
      <c r="N84" s="30">
        <f t="shared" si="22"/>
        <v>0.54000000000000625</v>
      </c>
      <c r="O84" s="33">
        <f>68.46</f>
        <v>68.459999999999994</v>
      </c>
      <c r="P84" s="31">
        <f t="shared" si="23"/>
        <v>0</v>
      </c>
      <c r="Q84" s="32">
        <f t="shared" si="20"/>
        <v>0.99217391304347813</v>
      </c>
      <c r="R84" s="32">
        <f t="shared" si="27"/>
        <v>0.99217391304347813</v>
      </c>
      <c r="S84" s="32">
        <f t="shared" si="28"/>
        <v>0.99217391304347813</v>
      </c>
    </row>
    <row r="85" spans="1:44" ht="13" thickBot="1" x14ac:dyDescent="0.2">
      <c r="A85" s="22">
        <v>297</v>
      </c>
      <c r="B85" s="23" t="s">
        <v>144</v>
      </c>
      <c r="C85" s="25">
        <v>0</v>
      </c>
      <c r="D85" s="25">
        <v>0</v>
      </c>
      <c r="E85" s="25">
        <v>0</v>
      </c>
      <c r="F85" s="27">
        <f>78-67</f>
        <v>11</v>
      </c>
      <c r="G85" s="28">
        <f t="shared" si="24"/>
        <v>11</v>
      </c>
      <c r="H85" s="25">
        <f>-67+78</f>
        <v>11</v>
      </c>
      <c r="I85" s="25">
        <v>0</v>
      </c>
      <c r="J85" s="33">
        <f>10.69</f>
        <v>10.69</v>
      </c>
      <c r="K85" s="48">
        <f>10.69-10.69+10.69</f>
        <v>10.69</v>
      </c>
      <c r="L85" s="30">
        <f t="shared" si="21"/>
        <v>0.3100000000000005</v>
      </c>
      <c r="M85" s="30">
        <f t="shared" si="26"/>
        <v>0</v>
      </c>
      <c r="N85" s="30">
        <f t="shared" si="22"/>
        <v>0.3100000000000005</v>
      </c>
      <c r="O85" s="33">
        <f>10.69</f>
        <v>10.69</v>
      </c>
      <c r="P85" s="31">
        <f t="shared" si="23"/>
        <v>0</v>
      </c>
      <c r="Q85" s="32">
        <f t="shared" si="20"/>
        <v>0.9718181818181818</v>
      </c>
      <c r="R85" s="32">
        <f t="shared" si="27"/>
        <v>0.9718181818181818</v>
      </c>
      <c r="S85" s="32">
        <f t="shared" si="28"/>
        <v>0.9718181818181818</v>
      </c>
    </row>
    <row r="86" spans="1:44" ht="17.5" customHeight="1" thickBot="1" x14ac:dyDescent="0.2">
      <c r="A86" s="60">
        <v>3</v>
      </c>
      <c r="B86" s="38" t="s">
        <v>145</v>
      </c>
      <c r="C86" s="61">
        <f t="shared" ref="C86:P86" si="29">SUM(C87:C93)</f>
        <v>0</v>
      </c>
      <c r="D86" s="61">
        <f t="shared" si="29"/>
        <v>0</v>
      </c>
      <c r="E86" s="61">
        <f t="shared" si="29"/>
        <v>0</v>
      </c>
      <c r="F86" s="62">
        <f>SUM(F87:F93)</f>
        <v>70759</v>
      </c>
      <c r="G86" s="62">
        <f>SUM(E86+F86)</f>
        <v>70759</v>
      </c>
      <c r="H86" s="61">
        <f t="shared" si="29"/>
        <v>70759</v>
      </c>
      <c r="I86" s="61">
        <f t="shared" si="29"/>
        <v>0</v>
      </c>
      <c r="J86" s="61">
        <f t="shared" si="29"/>
        <v>47590.259999999995</v>
      </c>
      <c r="K86" s="61">
        <f t="shared" si="29"/>
        <v>47613.789999999994</v>
      </c>
      <c r="L86" s="61">
        <f t="shared" si="29"/>
        <v>23145.21</v>
      </c>
      <c r="M86" s="61">
        <f t="shared" si="29"/>
        <v>0</v>
      </c>
      <c r="N86" s="61">
        <f t="shared" si="29"/>
        <v>23145.21</v>
      </c>
      <c r="O86" s="61">
        <f t="shared" si="29"/>
        <v>4886.1000000000004</v>
      </c>
      <c r="P86" s="64">
        <f t="shared" si="29"/>
        <v>42727.689999999995</v>
      </c>
      <c r="Q86" s="44">
        <f t="shared" si="20"/>
        <v>0.67290083240294507</v>
      </c>
      <c r="R86" s="65">
        <f t="shared" si="27"/>
        <v>0.67256829519919725</v>
      </c>
      <c r="S86" s="66">
        <f t="shared" si="28"/>
        <v>0.67290083240294507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</row>
    <row r="87" spans="1:44" s="11" customFormat="1" x14ac:dyDescent="0.15">
      <c r="A87" s="22" t="s">
        <v>146</v>
      </c>
      <c r="B87" s="67" t="s">
        <v>147</v>
      </c>
      <c r="C87" s="25">
        <v>0</v>
      </c>
      <c r="D87" s="25">
        <v>0</v>
      </c>
      <c r="E87" s="25">
        <v>0</v>
      </c>
      <c r="F87" s="68">
        <f>400-100</f>
        <v>300</v>
      </c>
      <c r="G87" s="28">
        <f t="shared" ref="G87:G110" si="30">SUM(E87+F87)</f>
        <v>300</v>
      </c>
      <c r="H87" s="25">
        <f>400-100</f>
        <v>300</v>
      </c>
      <c r="I87" s="25">
        <v>0</v>
      </c>
      <c r="J87" s="25">
        <v>0</v>
      </c>
      <c r="K87" s="48">
        <f>299.95-299.95</f>
        <v>0</v>
      </c>
      <c r="L87" s="30">
        <f t="shared" ref="L87:L93" si="31">SUM(H87-K87)</f>
        <v>300</v>
      </c>
      <c r="M87" s="30">
        <f>SUM(G87-H87)</f>
        <v>0</v>
      </c>
      <c r="N87" s="30">
        <f t="shared" ref="N87:N93" si="32">SUM(-I87+L87+M87)</f>
        <v>300</v>
      </c>
      <c r="O87" s="25">
        <v>0</v>
      </c>
      <c r="P87" s="31">
        <f t="shared" ref="P87:P93" si="33">SUM(K87-O87)</f>
        <v>0</v>
      </c>
      <c r="Q87" s="32">
        <f t="shared" si="20"/>
        <v>0</v>
      </c>
      <c r="R87" s="32">
        <f t="shared" si="27"/>
        <v>0</v>
      </c>
      <c r="S87" s="32">
        <f t="shared" si="28"/>
        <v>0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15">
      <c r="A88" s="22">
        <v>314</v>
      </c>
      <c r="B88" s="67" t="s">
        <v>148</v>
      </c>
      <c r="C88" s="25">
        <v>0</v>
      </c>
      <c r="D88" s="25">
        <v>0</v>
      </c>
      <c r="E88" s="25">
        <v>0</v>
      </c>
      <c r="F88" s="68">
        <f>37887-5040</f>
        <v>32847</v>
      </c>
      <c r="G88" s="28">
        <f t="shared" si="30"/>
        <v>32847</v>
      </c>
      <c r="H88" s="25">
        <f>37887-5040</f>
        <v>32847</v>
      </c>
      <c r="I88" s="25"/>
      <c r="J88" s="25">
        <f>32846+0.25</f>
        <v>32846.25</v>
      </c>
      <c r="K88" s="48">
        <v>32846.25</v>
      </c>
      <c r="L88" s="30">
        <f t="shared" si="31"/>
        <v>0.75</v>
      </c>
      <c r="M88" s="30"/>
      <c r="N88" s="30">
        <f t="shared" si="32"/>
        <v>0.75</v>
      </c>
      <c r="O88" s="25"/>
      <c r="P88" s="31">
        <f t="shared" si="33"/>
        <v>32846.25</v>
      </c>
      <c r="Q88" s="32">
        <f t="shared" si="20"/>
        <v>0.99997716686455385</v>
      </c>
      <c r="R88" s="32">
        <f t="shared" si="27"/>
        <v>0.99997716686455385</v>
      </c>
      <c r="S88" s="32">
        <f t="shared" si="28"/>
        <v>0.99997716686455385</v>
      </c>
    </row>
    <row r="89" spans="1:44" x14ac:dyDescent="0.15">
      <c r="A89" s="22">
        <v>320</v>
      </c>
      <c r="B89" s="67" t="s">
        <v>149</v>
      </c>
      <c r="C89" s="25">
        <v>0</v>
      </c>
      <c r="D89" s="25">
        <v>0</v>
      </c>
      <c r="E89" s="25">
        <v>0</v>
      </c>
      <c r="F89" s="68">
        <f>3000</f>
        <v>3000</v>
      </c>
      <c r="G89" s="28">
        <f t="shared" si="30"/>
        <v>3000</v>
      </c>
      <c r="H89" s="25">
        <f>3000</f>
        <v>3000</v>
      </c>
      <c r="I89" s="25">
        <v>0</v>
      </c>
      <c r="J89" s="25">
        <v>0</v>
      </c>
      <c r="K89" s="48">
        <v>0</v>
      </c>
      <c r="L89" s="30">
        <f t="shared" si="31"/>
        <v>3000</v>
      </c>
      <c r="M89" s="30">
        <f>SUM(G89-H89)</f>
        <v>0</v>
      </c>
      <c r="N89" s="30">
        <f t="shared" si="32"/>
        <v>3000</v>
      </c>
      <c r="O89" s="25">
        <v>0</v>
      </c>
      <c r="P89" s="31">
        <f t="shared" si="33"/>
        <v>0</v>
      </c>
      <c r="Q89" s="32">
        <f t="shared" si="20"/>
        <v>0</v>
      </c>
      <c r="R89" s="32">
        <f t="shared" si="27"/>
        <v>0</v>
      </c>
      <c r="S89" s="32">
        <f t="shared" si="28"/>
        <v>0</v>
      </c>
    </row>
    <row r="90" spans="1:44" x14ac:dyDescent="0.15">
      <c r="A90" s="22" t="s">
        <v>150</v>
      </c>
      <c r="B90" s="67" t="s">
        <v>151</v>
      </c>
      <c r="C90" s="25">
        <v>0</v>
      </c>
      <c r="D90" s="25">
        <v>0</v>
      </c>
      <c r="E90" s="25">
        <v>0</v>
      </c>
      <c r="F90" s="68">
        <v>0</v>
      </c>
      <c r="G90" s="28">
        <f t="shared" si="30"/>
        <v>0</v>
      </c>
      <c r="H90" s="25">
        <v>0</v>
      </c>
      <c r="I90" s="25">
        <v>0</v>
      </c>
      <c r="J90" s="25">
        <v>0</v>
      </c>
      <c r="K90" s="48">
        <v>0</v>
      </c>
      <c r="L90" s="30">
        <f t="shared" si="31"/>
        <v>0</v>
      </c>
      <c r="M90" s="30">
        <f>SUM(G90-H90)</f>
        <v>0</v>
      </c>
      <c r="N90" s="30">
        <f t="shared" si="32"/>
        <v>0</v>
      </c>
      <c r="O90" s="25">
        <v>0</v>
      </c>
      <c r="P90" s="31">
        <f t="shared" si="33"/>
        <v>0</v>
      </c>
      <c r="Q90" s="32">
        <v>0</v>
      </c>
      <c r="R90" s="32">
        <v>0</v>
      </c>
      <c r="S90" s="32">
        <v>0</v>
      </c>
    </row>
    <row r="91" spans="1:44" x14ac:dyDescent="0.15">
      <c r="A91" s="22" t="s">
        <v>152</v>
      </c>
      <c r="B91" s="67" t="s">
        <v>153</v>
      </c>
      <c r="C91" s="25">
        <v>0</v>
      </c>
      <c r="D91" s="25">
        <v>0</v>
      </c>
      <c r="E91" s="25">
        <v>0</v>
      </c>
      <c r="F91" s="68">
        <f>4887+21000</f>
        <v>25887</v>
      </c>
      <c r="G91" s="28">
        <f t="shared" si="30"/>
        <v>25887</v>
      </c>
      <c r="H91" s="25">
        <f>4887+21000</f>
        <v>25887</v>
      </c>
      <c r="I91" s="25">
        <v>0</v>
      </c>
      <c r="J91" s="25">
        <f>4886.1+4912.24</f>
        <v>9798.34</v>
      </c>
      <c r="K91" s="48">
        <f>4886.1+4912.24</f>
        <v>9798.34</v>
      </c>
      <c r="L91" s="30">
        <f t="shared" si="31"/>
        <v>16088.66</v>
      </c>
      <c r="M91" s="30">
        <f>SUM(G91-H91)</f>
        <v>0</v>
      </c>
      <c r="N91" s="30">
        <f t="shared" si="32"/>
        <v>16088.66</v>
      </c>
      <c r="O91" s="25">
        <v>4886.1000000000004</v>
      </c>
      <c r="P91" s="31">
        <f t="shared" si="33"/>
        <v>4912.24</v>
      </c>
      <c r="Q91" s="32">
        <f t="shared" si="20"/>
        <v>0.37850426855178276</v>
      </c>
      <c r="R91" s="32">
        <f t="shared" si="27"/>
        <v>0.37850426855178276</v>
      </c>
      <c r="S91" s="32">
        <f t="shared" si="28"/>
        <v>0.37850426855178276</v>
      </c>
    </row>
    <row r="92" spans="1:44" x14ac:dyDescent="0.15">
      <c r="A92" s="22" t="s">
        <v>154</v>
      </c>
      <c r="B92" s="67" t="s">
        <v>145</v>
      </c>
      <c r="C92" s="25">
        <v>0</v>
      </c>
      <c r="D92" s="25">
        <v>0</v>
      </c>
      <c r="E92" s="25">
        <v>0</v>
      </c>
      <c r="F92" s="68">
        <f>25+1700</f>
        <v>1725</v>
      </c>
      <c r="G92" s="28">
        <f t="shared" si="30"/>
        <v>1725</v>
      </c>
      <c r="H92" s="25">
        <f>25+1700</f>
        <v>1725</v>
      </c>
      <c r="I92" s="25">
        <v>0</v>
      </c>
      <c r="J92" s="25">
        <v>0</v>
      </c>
      <c r="K92" s="48">
        <f>23.53</f>
        <v>23.53</v>
      </c>
      <c r="L92" s="30">
        <f t="shared" si="31"/>
        <v>1701.47</v>
      </c>
      <c r="M92" s="30">
        <f>SUM(G92-H92)</f>
        <v>0</v>
      </c>
      <c r="N92" s="30">
        <f t="shared" si="32"/>
        <v>1701.47</v>
      </c>
      <c r="O92" s="25">
        <v>0</v>
      </c>
      <c r="P92" s="31">
        <f t="shared" si="33"/>
        <v>23.53</v>
      </c>
      <c r="Q92" s="32">
        <f t="shared" si="20"/>
        <v>1.3640579710144929E-2</v>
      </c>
      <c r="R92" s="32">
        <f t="shared" si="27"/>
        <v>0</v>
      </c>
      <c r="S92" s="32">
        <f t="shared" si="28"/>
        <v>1.3640579710144929E-2</v>
      </c>
    </row>
    <row r="93" spans="1:44" ht="13" thickBot="1" x14ac:dyDescent="0.2">
      <c r="A93" s="22">
        <v>380</v>
      </c>
      <c r="B93" s="67" t="s">
        <v>155</v>
      </c>
      <c r="C93" s="25">
        <v>0</v>
      </c>
      <c r="D93" s="25">
        <v>0</v>
      </c>
      <c r="E93" s="25">
        <v>0</v>
      </c>
      <c r="F93" s="68">
        <f>7000</f>
        <v>7000</v>
      </c>
      <c r="G93" s="28">
        <f t="shared" si="30"/>
        <v>7000</v>
      </c>
      <c r="H93" s="25">
        <f>7000</f>
        <v>7000</v>
      </c>
      <c r="I93" s="25">
        <v>0</v>
      </c>
      <c r="J93" s="25">
        <f>4945.67</f>
        <v>4945.67</v>
      </c>
      <c r="K93" s="48">
        <f>4945.67</f>
        <v>4945.67</v>
      </c>
      <c r="L93" s="30">
        <f t="shared" si="31"/>
        <v>2054.33</v>
      </c>
      <c r="M93" s="30">
        <f>SUM(G93-H93)</f>
        <v>0</v>
      </c>
      <c r="N93" s="30">
        <f t="shared" si="32"/>
        <v>2054.33</v>
      </c>
      <c r="O93" s="25">
        <v>0</v>
      </c>
      <c r="P93" s="31">
        <f t="shared" si="33"/>
        <v>4945.67</v>
      </c>
      <c r="Q93" s="32">
        <f t="shared" si="20"/>
        <v>0.70652428571428572</v>
      </c>
      <c r="R93" s="32">
        <f t="shared" si="27"/>
        <v>0.70652428571428572</v>
      </c>
      <c r="S93" s="32">
        <f t="shared" si="28"/>
        <v>0.70652428571428572</v>
      </c>
    </row>
    <row r="94" spans="1:44" ht="13" thickBot="1" x14ac:dyDescent="0.2">
      <c r="A94" s="69">
        <v>6</v>
      </c>
      <c r="B94" s="70" t="s">
        <v>156</v>
      </c>
      <c r="C94" s="71">
        <f>SUM(C96:C99)</f>
        <v>268</v>
      </c>
      <c r="D94" s="71">
        <f>SUM(D96:D99)</f>
        <v>0</v>
      </c>
      <c r="E94" s="71">
        <f>SUM(E96:E99)</f>
        <v>268</v>
      </c>
      <c r="F94" s="72">
        <f>SUM(F95:F99)</f>
        <v>51101</v>
      </c>
      <c r="G94" s="63">
        <f>SUM(E94+F94)</f>
        <v>51369</v>
      </c>
      <c r="H94" s="71">
        <f>SUM(H95:H99)</f>
        <v>51369</v>
      </c>
      <c r="I94" s="71">
        <f>SUM(I96:I99)</f>
        <v>0</v>
      </c>
      <c r="J94" s="71">
        <f>SUM(J96:J99)</f>
        <v>49890.68</v>
      </c>
      <c r="K94" s="73">
        <f>SUM(K95:K99)</f>
        <v>49890.68</v>
      </c>
      <c r="L94" s="71">
        <f>SUM(L96:L99)</f>
        <v>1478.3199999999997</v>
      </c>
      <c r="M94" s="71">
        <f>SUM(M96:M99)</f>
        <v>0</v>
      </c>
      <c r="N94" s="71">
        <f>SUM(N96:N99)</f>
        <v>1478.3199999999997</v>
      </c>
      <c r="O94" s="71">
        <f>SUM(O96:O99)</f>
        <v>30000</v>
      </c>
      <c r="P94" s="71">
        <f>SUM(P96:P99)</f>
        <v>19890.68</v>
      </c>
      <c r="Q94" s="44">
        <f>SUM(K94/H94*100%)</f>
        <v>0.97122155385543807</v>
      </c>
      <c r="R94" s="44">
        <f>SUM(J94/G94*100%)</f>
        <v>0.97122155385543807</v>
      </c>
      <c r="S94" s="44">
        <f>SUM(K94/G94*100%)</f>
        <v>0.97122155385543807</v>
      </c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4" s="11" customFormat="1" ht="22.5" customHeight="1" x14ac:dyDescent="0.15">
      <c r="A95" s="34">
        <v>612</v>
      </c>
      <c r="B95" s="23" t="s">
        <v>157</v>
      </c>
      <c r="C95" s="74">
        <v>0</v>
      </c>
      <c r="D95" s="74">
        <v>0</v>
      </c>
      <c r="E95" s="74">
        <v>0</v>
      </c>
      <c r="F95" s="75">
        <f>15727-15727</f>
        <v>0</v>
      </c>
      <c r="G95" s="28">
        <f t="shared" si="30"/>
        <v>0</v>
      </c>
      <c r="H95" s="74">
        <f>15727-15727</f>
        <v>0</v>
      </c>
      <c r="I95" s="25">
        <v>0</v>
      </c>
      <c r="J95" s="74">
        <v>0</v>
      </c>
      <c r="K95" s="76">
        <f>15726.5-15726.5</f>
        <v>0</v>
      </c>
      <c r="L95" s="74">
        <f>SUM(H95-K95)</f>
        <v>0</v>
      </c>
      <c r="M95" s="30">
        <f>SUM(G95-H95)</f>
        <v>0</v>
      </c>
      <c r="N95" s="74">
        <f>SUM(-I95+L95+M95)</f>
        <v>0</v>
      </c>
      <c r="O95" s="74">
        <v>0</v>
      </c>
      <c r="P95" s="31">
        <f>SUM(K95-O95)</f>
        <v>0</v>
      </c>
      <c r="Q95" s="32">
        <v>0</v>
      </c>
      <c r="R95" s="32">
        <v>0</v>
      </c>
      <c r="S95" s="32">
        <v>0</v>
      </c>
    </row>
    <row r="96" spans="1:44" s="11" customFormat="1" x14ac:dyDescent="0.15">
      <c r="A96" s="34" t="s">
        <v>158</v>
      </c>
      <c r="B96" s="23" t="s">
        <v>159</v>
      </c>
      <c r="C96" s="25">
        <v>0</v>
      </c>
      <c r="D96" s="25">
        <v>0</v>
      </c>
      <c r="E96" s="25">
        <v>0</v>
      </c>
      <c r="F96" s="68">
        <f>1500-1500+2000+3642</f>
        <v>5642</v>
      </c>
      <c r="G96" s="28">
        <f t="shared" si="30"/>
        <v>5642</v>
      </c>
      <c r="H96" s="25">
        <f>2000+3642</f>
        <v>5642</v>
      </c>
      <c r="I96" s="25">
        <v>0</v>
      </c>
      <c r="J96" s="25">
        <f>642+3522.18</f>
        <v>4164.18</v>
      </c>
      <c r="K96" s="48">
        <f>642+3522.18</f>
        <v>4164.18</v>
      </c>
      <c r="L96" s="30">
        <f>SUM(H96-K96)</f>
        <v>1477.8199999999997</v>
      </c>
      <c r="M96" s="30">
        <f>SUM(G96-H96)</f>
        <v>0</v>
      </c>
      <c r="N96" s="30">
        <f>SUM(-I96+L96+M96)</f>
        <v>1477.8199999999997</v>
      </c>
      <c r="O96" s="25">
        <v>0</v>
      </c>
      <c r="P96" s="31">
        <f>SUM(K96-O96)</f>
        <v>4164.18</v>
      </c>
      <c r="Q96" s="32">
        <f>SUM(K96/H96*100%)</f>
        <v>0.73806806097128685</v>
      </c>
      <c r="R96" s="32">
        <f>SUM(J96/G96*100%)</f>
        <v>0.73806806097128685</v>
      </c>
      <c r="S96" s="32">
        <f>SUM(K96/G96*100%)</f>
        <v>0.73806806097128685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15">
      <c r="A97" s="34" t="s">
        <v>160</v>
      </c>
      <c r="B97" s="23" t="s">
        <v>161</v>
      </c>
      <c r="C97" s="24">
        <v>268</v>
      </c>
      <c r="D97" s="25">
        <v>0</v>
      </c>
      <c r="E97" s="26">
        <v>268</v>
      </c>
      <c r="F97" s="68">
        <f>268-536</f>
        <v>-268</v>
      </c>
      <c r="G97" s="28">
        <f t="shared" si="30"/>
        <v>0</v>
      </c>
      <c r="H97" s="25">
        <f>268-268</f>
        <v>0</v>
      </c>
      <c r="I97" s="25">
        <v>0</v>
      </c>
      <c r="J97" s="25">
        <v>0</v>
      </c>
      <c r="K97" s="48">
        <v>0</v>
      </c>
      <c r="L97" s="30">
        <f>SUM(H97-K97)</f>
        <v>0</v>
      </c>
      <c r="M97" s="30">
        <f>SUM(G97-H97)</f>
        <v>0</v>
      </c>
      <c r="N97" s="30">
        <f>SUM(-I97+L97+M97)</f>
        <v>0</v>
      </c>
      <c r="O97" s="25">
        <v>0</v>
      </c>
      <c r="P97" s="31">
        <f>SUM(K97-O97)</f>
        <v>0</v>
      </c>
      <c r="Q97" s="32">
        <v>0</v>
      </c>
      <c r="R97" s="32">
        <v>0</v>
      </c>
      <c r="S97" s="32">
        <v>0</v>
      </c>
    </row>
    <row r="98" spans="1:44" x14ac:dyDescent="0.15">
      <c r="A98" s="34">
        <v>669</v>
      </c>
      <c r="B98" s="23" t="s">
        <v>162</v>
      </c>
      <c r="C98" s="24"/>
      <c r="D98" s="25"/>
      <c r="E98" s="26"/>
      <c r="F98" s="68">
        <f>30000</f>
        <v>30000</v>
      </c>
      <c r="G98" s="28">
        <f t="shared" si="30"/>
        <v>30000</v>
      </c>
      <c r="H98" s="25">
        <f>30000</f>
        <v>30000</v>
      </c>
      <c r="I98" s="25"/>
      <c r="J98" s="25">
        <f>30000</f>
        <v>30000</v>
      </c>
      <c r="K98" s="48">
        <f>30000</f>
        <v>30000</v>
      </c>
      <c r="L98" s="30"/>
      <c r="M98" s="30"/>
      <c r="N98" s="30"/>
      <c r="O98" s="25">
        <f>30000</f>
        <v>30000</v>
      </c>
      <c r="P98" s="31"/>
      <c r="Q98" s="32">
        <f>SUM(K98/H98*100%)</f>
        <v>1</v>
      </c>
      <c r="R98" s="32">
        <f>SUM(J98/G98*100%)</f>
        <v>1</v>
      </c>
      <c r="S98" s="32">
        <f>SUM(K98/G98*100%)</f>
        <v>1</v>
      </c>
    </row>
    <row r="99" spans="1:44" ht="13" thickBot="1" x14ac:dyDescent="0.2">
      <c r="A99" s="34">
        <v>692</v>
      </c>
      <c r="B99" s="23" t="s">
        <v>163</v>
      </c>
      <c r="C99" s="25">
        <v>0</v>
      </c>
      <c r="D99" s="25">
        <v>0</v>
      </c>
      <c r="E99" s="25">
        <v>0</v>
      </c>
      <c r="F99" s="68">
        <v>15727</v>
      </c>
      <c r="G99" s="28">
        <f t="shared" si="30"/>
        <v>15727</v>
      </c>
      <c r="H99" s="25">
        <v>15727</v>
      </c>
      <c r="I99" s="25">
        <v>0</v>
      </c>
      <c r="J99" s="25">
        <v>15726.5</v>
      </c>
      <c r="K99" s="48">
        <v>15726.5</v>
      </c>
      <c r="L99" s="30">
        <f>SUM(H99-K99)</f>
        <v>0.5</v>
      </c>
      <c r="M99" s="30">
        <f>SUM(G99-H99)</f>
        <v>0</v>
      </c>
      <c r="N99" s="30">
        <f>SUM(-I99+L99+M99)</f>
        <v>0.5</v>
      </c>
      <c r="O99" s="25">
        <v>0</v>
      </c>
      <c r="P99" s="31">
        <f>SUM(K99-O99)</f>
        <v>15726.5</v>
      </c>
      <c r="Q99" s="32">
        <f>SUM(K99/H99*100%)</f>
        <v>0.99996820754117122</v>
      </c>
      <c r="R99" s="32">
        <f>SUM(J99/G99*100%)</f>
        <v>0.99996820754117122</v>
      </c>
      <c r="S99" s="32">
        <f t="shared" ref="S99:S110" si="34">SUM(K99/G99*100%)</f>
        <v>0.99996820754117122</v>
      </c>
    </row>
    <row r="100" spans="1:44" ht="13" thickBot="1" x14ac:dyDescent="0.2">
      <c r="A100" s="77"/>
      <c r="B100" s="78" t="s">
        <v>164</v>
      </c>
      <c r="C100" s="79">
        <v>0</v>
      </c>
      <c r="D100" s="78">
        <v>0</v>
      </c>
      <c r="E100" s="78">
        <v>0</v>
      </c>
      <c r="F100" s="80">
        <f>SUM(F101+F103)</f>
        <v>100000</v>
      </c>
      <c r="G100" s="81">
        <f>SUM(E100+F100)</f>
        <v>100000</v>
      </c>
      <c r="H100" s="82">
        <f>SUM(H101+H103)</f>
        <v>100000</v>
      </c>
      <c r="I100" s="83">
        <v>0</v>
      </c>
      <c r="J100" s="82">
        <f>SUM(J101+J103)</f>
        <v>88620.47</v>
      </c>
      <c r="K100" s="84">
        <f>SUM(K101+K103)</f>
        <v>88620.47</v>
      </c>
      <c r="L100" s="85">
        <f>SUM(L101+L103)</f>
        <v>11379.529999999997</v>
      </c>
      <c r="M100" s="71">
        <f>SUM(M104:M106)</f>
        <v>0</v>
      </c>
      <c r="N100" s="71">
        <f>SUM(N101+N103)</f>
        <v>11379.529999999997</v>
      </c>
      <c r="O100" s="71">
        <f>SUM(O101+O103)</f>
        <v>57837.99</v>
      </c>
      <c r="P100" s="71">
        <f>SUM(P101+P103)</f>
        <v>30782.480000000007</v>
      </c>
      <c r="Q100" s="44">
        <f t="shared" ref="Q100:Q104" si="35">SUM(K100/H100*100%)</f>
        <v>0.88620469999999996</v>
      </c>
      <c r="R100" s="44">
        <f t="shared" ref="R100:R110" si="36">SUM(J100/G100*100%)</f>
        <v>0.88620469999999996</v>
      </c>
      <c r="S100" s="86">
        <f t="shared" si="34"/>
        <v>0.88620469999999996</v>
      </c>
    </row>
    <row r="101" spans="1:44" ht="13" thickBot="1" x14ac:dyDescent="0.2">
      <c r="A101" s="69">
        <v>2</v>
      </c>
      <c r="B101" s="70" t="s">
        <v>94</v>
      </c>
      <c r="C101" s="71">
        <v>0</v>
      </c>
      <c r="D101" s="71">
        <v>0</v>
      </c>
      <c r="E101" s="71">
        <v>0</v>
      </c>
      <c r="F101" s="87">
        <f>F102</f>
        <v>3627</v>
      </c>
      <c r="G101" s="52">
        <f>SUM(E101+F101)</f>
        <v>3627</v>
      </c>
      <c r="H101" s="71">
        <f>H102</f>
        <v>3627</v>
      </c>
      <c r="I101" s="71">
        <v>0</v>
      </c>
      <c r="J101" s="71">
        <f>J102</f>
        <v>3623.23</v>
      </c>
      <c r="K101" s="73">
        <f>K102</f>
        <v>3623.23</v>
      </c>
      <c r="L101" s="71">
        <f>SUM(H101-K101)</f>
        <v>3.7699999999999818</v>
      </c>
      <c r="M101" s="71">
        <v>0</v>
      </c>
      <c r="N101" s="71">
        <f>SUM(-I101+L101+M101)</f>
        <v>3.7699999999999818</v>
      </c>
      <c r="O101" s="71">
        <f>O102</f>
        <v>3623.23</v>
      </c>
      <c r="P101" s="88">
        <f>SUM(K101-O101)</f>
        <v>0</v>
      </c>
      <c r="Q101" s="32">
        <f>SUM(K101/H101*100%)</f>
        <v>0.99896057347670253</v>
      </c>
      <c r="R101" s="32">
        <f>SUM(J101/G101*100%)</f>
        <v>0.99896057347670253</v>
      </c>
      <c r="S101" s="44">
        <f t="shared" si="34"/>
        <v>0.99896057347670253</v>
      </c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</row>
    <row r="102" spans="1:44" ht="13" thickBot="1" x14ac:dyDescent="0.2">
      <c r="A102" s="46" t="s">
        <v>129</v>
      </c>
      <c r="B102" s="23" t="s">
        <v>130</v>
      </c>
      <c r="C102" s="89">
        <v>0</v>
      </c>
      <c r="D102" s="89">
        <v>0</v>
      </c>
      <c r="E102" s="89">
        <v>0</v>
      </c>
      <c r="F102" s="90">
        <f>2122+1505</f>
        <v>3627</v>
      </c>
      <c r="G102" s="52">
        <f t="shared" si="30"/>
        <v>3627</v>
      </c>
      <c r="H102" s="91">
        <f>2122+1505</f>
        <v>3627</v>
      </c>
      <c r="I102" s="89">
        <v>0</v>
      </c>
      <c r="J102" s="91">
        <f>2118.6+1505-0.37</f>
        <v>3623.23</v>
      </c>
      <c r="K102" s="92">
        <f>2118.6+1504.63</f>
        <v>3623.23</v>
      </c>
      <c r="L102" s="89">
        <f>SUM(H102-K102)</f>
        <v>3.7699999999999818</v>
      </c>
      <c r="M102" s="93">
        <v>0</v>
      </c>
      <c r="N102" s="89">
        <f>SUM(-I102+L102+M102)</f>
        <v>3.7699999999999818</v>
      </c>
      <c r="O102" s="94">
        <f>2118.6+1504.63</f>
        <v>3623.23</v>
      </c>
      <c r="P102" s="88">
        <f>SUM(K102-O102)</f>
        <v>0</v>
      </c>
      <c r="Q102" s="95">
        <f t="shared" si="35"/>
        <v>0.99896057347670253</v>
      </c>
      <c r="R102" s="95">
        <f t="shared" si="36"/>
        <v>0.99896057347670253</v>
      </c>
      <c r="S102" s="32">
        <f t="shared" si="34"/>
        <v>0.99896057347670253</v>
      </c>
    </row>
    <row r="103" spans="1:44" s="11" customFormat="1" ht="22.5" customHeight="1" thickBot="1" x14ac:dyDescent="0.2">
      <c r="A103" s="69">
        <v>3</v>
      </c>
      <c r="B103" s="70" t="s">
        <v>145</v>
      </c>
      <c r="C103" s="71">
        <v>0</v>
      </c>
      <c r="D103" s="71">
        <v>0</v>
      </c>
      <c r="E103" s="71">
        <v>0</v>
      </c>
      <c r="F103" s="96">
        <f>SUM(F104:F110)</f>
        <v>96373</v>
      </c>
      <c r="G103" s="97">
        <f>SUM(E103+F103)</f>
        <v>96373</v>
      </c>
      <c r="H103" s="71">
        <f>SUM(H104:H110)</f>
        <v>96373</v>
      </c>
      <c r="I103" s="98">
        <v>0</v>
      </c>
      <c r="J103" s="99">
        <f>SUM(J104:J110)</f>
        <v>84997.24</v>
      </c>
      <c r="K103" s="71">
        <f>SUM(K104:K110)</f>
        <v>84997.24</v>
      </c>
      <c r="L103" s="71">
        <f>SUM(L104:L110)</f>
        <v>11375.759999999997</v>
      </c>
      <c r="M103" s="71">
        <v>0</v>
      </c>
      <c r="N103" s="100">
        <f>SUM(N104:N110)</f>
        <v>11375.759999999997</v>
      </c>
      <c r="O103" s="100">
        <f>SUM(O104:O110)</f>
        <v>54214.759999999995</v>
      </c>
      <c r="P103" s="101">
        <f>SUM(P104:P110)</f>
        <v>30782.480000000007</v>
      </c>
      <c r="Q103" s="102">
        <f t="shared" si="35"/>
        <v>0.88196113019206634</v>
      </c>
      <c r="R103" s="103">
        <f t="shared" si="36"/>
        <v>0.88196113019206634</v>
      </c>
      <c r="S103" s="102">
        <f t="shared" si="34"/>
        <v>0.88196113019206634</v>
      </c>
    </row>
    <row r="104" spans="1:44" ht="13" thickBot="1" x14ac:dyDescent="0.2">
      <c r="A104" s="46" t="s">
        <v>146</v>
      </c>
      <c r="B104" s="104" t="s">
        <v>147</v>
      </c>
      <c r="C104" s="105">
        <v>0</v>
      </c>
      <c r="D104" s="105">
        <v>0</v>
      </c>
      <c r="E104" s="105">
        <v>0</v>
      </c>
      <c r="F104" s="106">
        <f>40000-2122-32000-2000</f>
        <v>3878</v>
      </c>
      <c r="G104" s="107">
        <f t="shared" si="30"/>
        <v>3878</v>
      </c>
      <c r="H104" s="108">
        <f>SUM(40000-2122-32000-2000)</f>
        <v>3878</v>
      </c>
      <c r="I104" s="105">
        <v>0</v>
      </c>
      <c r="J104" s="25">
        <f>745.37+299.95</f>
        <v>1045.32</v>
      </c>
      <c r="K104" s="76">
        <f>745.37+299.95</f>
        <v>1045.32</v>
      </c>
      <c r="L104" s="105">
        <f>SUM(H104-K104)</f>
        <v>2832.6800000000003</v>
      </c>
      <c r="M104" s="109">
        <f>SUM(G104-H104)</f>
        <v>0</v>
      </c>
      <c r="N104" s="105">
        <f>SUM(-I104+L104+M104)</f>
        <v>2832.6800000000003</v>
      </c>
      <c r="O104" s="110">
        <f>745.37+299.95</f>
        <v>1045.32</v>
      </c>
      <c r="P104" s="111">
        <f t="shared" ref="P104:P110" si="37">SUM(K104-O104)</f>
        <v>0</v>
      </c>
      <c r="Q104" s="13">
        <f t="shared" si="35"/>
        <v>0.26955131511088187</v>
      </c>
      <c r="R104" s="13">
        <f t="shared" si="36"/>
        <v>0.26955131511088187</v>
      </c>
      <c r="S104" s="43">
        <f t="shared" si="34"/>
        <v>0.26955131511088187</v>
      </c>
    </row>
    <row r="105" spans="1:44" x14ac:dyDescent="0.15">
      <c r="A105" s="46">
        <v>314</v>
      </c>
      <c r="B105" s="104" t="s">
        <v>148</v>
      </c>
      <c r="C105" s="105">
        <v>0</v>
      </c>
      <c r="D105" s="105">
        <v>0</v>
      </c>
      <c r="E105" s="105">
        <v>0</v>
      </c>
      <c r="F105" s="106">
        <v>0</v>
      </c>
      <c r="G105" s="112">
        <f>SUM(E105+F105)</f>
        <v>0</v>
      </c>
      <c r="H105" s="108">
        <v>0</v>
      </c>
      <c r="I105" s="105"/>
      <c r="J105" s="25"/>
      <c r="K105" s="76"/>
      <c r="L105" s="105"/>
      <c r="M105" s="109"/>
      <c r="N105" s="105"/>
      <c r="O105" s="110"/>
      <c r="P105" s="111">
        <f t="shared" si="37"/>
        <v>0</v>
      </c>
      <c r="Q105" s="113">
        <v>0</v>
      </c>
      <c r="R105" s="114">
        <v>0</v>
      </c>
      <c r="S105" s="114">
        <v>0</v>
      </c>
    </row>
    <row r="106" spans="1:44" x14ac:dyDescent="0.15">
      <c r="A106" s="22">
        <v>320</v>
      </c>
      <c r="B106" s="67" t="s">
        <v>149</v>
      </c>
      <c r="C106" s="115">
        <v>0</v>
      </c>
      <c r="D106" s="115">
        <v>0</v>
      </c>
      <c r="E106" s="115">
        <v>0</v>
      </c>
      <c r="F106" s="116">
        <f>4000-2000</f>
        <v>2000</v>
      </c>
      <c r="G106" s="117">
        <f t="shared" si="30"/>
        <v>2000</v>
      </c>
      <c r="H106" s="25">
        <f>4000-2000</f>
        <v>2000</v>
      </c>
      <c r="I106" s="115">
        <v>0</v>
      </c>
      <c r="J106" s="25">
        <f>1904.5+0.1</f>
        <v>1904.6</v>
      </c>
      <c r="K106" s="76">
        <v>1904.6</v>
      </c>
      <c r="L106" s="115">
        <f>SUM(H106-K106)</f>
        <v>95.400000000000091</v>
      </c>
      <c r="M106" s="31">
        <f>SUM(G106-H106)</f>
        <v>0</v>
      </c>
      <c r="N106" s="115">
        <f>SUM(-I106+L106+M106)</f>
        <v>95.400000000000091</v>
      </c>
      <c r="O106" s="118">
        <v>0</v>
      </c>
      <c r="P106" s="119">
        <f t="shared" si="37"/>
        <v>1904.6</v>
      </c>
      <c r="Q106" s="113">
        <f>SUM(K106/H106*100%)</f>
        <v>0.95229999999999992</v>
      </c>
      <c r="R106" s="120">
        <f t="shared" si="36"/>
        <v>0.95229999999999992</v>
      </c>
      <c r="S106" s="121">
        <f t="shared" si="34"/>
        <v>0.95229999999999992</v>
      </c>
    </row>
    <row r="107" spans="1:44" x14ac:dyDescent="0.15">
      <c r="A107" s="22" t="s">
        <v>150</v>
      </c>
      <c r="B107" s="67" t="s">
        <v>151</v>
      </c>
      <c r="C107" s="115">
        <v>0</v>
      </c>
      <c r="D107" s="115">
        <v>0</v>
      </c>
      <c r="E107" s="115">
        <v>0</v>
      </c>
      <c r="F107" s="116">
        <f>8000-3500</f>
        <v>4500</v>
      </c>
      <c r="G107" s="117">
        <f t="shared" si="30"/>
        <v>4500</v>
      </c>
      <c r="H107" s="25">
        <f>8000-3500</f>
        <v>4500</v>
      </c>
      <c r="I107" s="115">
        <v>0</v>
      </c>
      <c r="J107" s="25">
        <v>0</v>
      </c>
      <c r="K107" s="76">
        <v>0</v>
      </c>
      <c r="L107" s="115">
        <f>SUM(H107-K107)</f>
        <v>4500</v>
      </c>
      <c r="M107" s="31">
        <f>SUM(G107-H107)</f>
        <v>0</v>
      </c>
      <c r="N107" s="115">
        <f>SUM(-I107+L107+M107)</f>
        <v>4500</v>
      </c>
      <c r="O107" s="118">
        <v>0</v>
      </c>
      <c r="P107" s="119">
        <f t="shared" si="37"/>
        <v>0</v>
      </c>
      <c r="Q107" s="113">
        <f>SUM(K107/H107*100%)</f>
        <v>0</v>
      </c>
      <c r="R107" s="120">
        <f t="shared" si="36"/>
        <v>0</v>
      </c>
      <c r="S107" s="121">
        <f t="shared" si="34"/>
        <v>0</v>
      </c>
    </row>
    <row r="108" spans="1:44" x14ac:dyDescent="0.15">
      <c r="A108" s="22" t="s">
        <v>152</v>
      </c>
      <c r="B108" s="67" t="s">
        <v>153</v>
      </c>
      <c r="C108" s="115">
        <v>0</v>
      </c>
      <c r="D108" s="115">
        <v>0</v>
      </c>
      <c r="E108" s="115">
        <v>0</v>
      </c>
      <c r="F108" s="116">
        <f>3000+15000</f>
        <v>18000</v>
      </c>
      <c r="G108" s="117">
        <f t="shared" si="30"/>
        <v>18000</v>
      </c>
      <c r="H108" s="25">
        <f>3000+15000</f>
        <v>18000</v>
      </c>
      <c r="I108" s="115">
        <v>0</v>
      </c>
      <c r="J108" s="25">
        <f>513.6+148.33+15301+1917.33</f>
        <v>17880.260000000002</v>
      </c>
      <c r="K108" s="76">
        <f>513.6+148.33+15301+1917.33</f>
        <v>17880.260000000002</v>
      </c>
      <c r="L108" s="115">
        <f>SUM(H108-K108)</f>
        <v>119.73999999999796</v>
      </c>
      <c r="M108" s="31">
        <f>SUM(G108-H108)</f>
        <v>0</v>
      </c>
      <c r="N108" s="115">
        <f>SUM(-I108+L108+M108)</f>
        <v>119.73999999999796</v>
      </c>
      <c r="O108" s="118">
        <f>513.6+148.33+6794.5</f>
        <v>7456.43</v>
      </c>
      <c r="P108" s="119">
        <f t="shared" si="37"/>
        <v>10423.830000000002</v>
      </c>
      <c r="Q108" s="113">
        <f>SUM(K108/H108*100%)</f>
        <v>0.99334777777777794</v>
      </c>
      <c r="R108" s="120">
        <f t="shared" si="36"/>
        <v>0.99334777777777794</v>
      </c>
      <c r="S108" s="121">
        <f t="shared" si="34"/>
        <v>0.99334777777777794</v>
      </c>
    </row>
    <row r="109" spans="1:44" x14ac:dyDescent="0.15">
      <c r="A109" s="22" t="s">
        <v>154</v>
      </c>
      <c r="B109" s="67" t="s">
        <v>145</v>
      </c>
      <c r="C109" s="115">
        <v>0</v>
      </c>
      <c r="D109" s="115">
        <v>0</v>
      </c>
      <c r="E109" s="115">
        <v>0</v>
      </c>
      <c r="F109" s="116">
        <f>5000+5500+1000</f>
        <v>11500</v>
      </c>
      <c r="G109" s="117">
        <f t="shared" si="30"/>
        <v>11500</v>
      </c>
      <c r="H109" s="25">
        <f>5000+5500+1000</f>
        <v>11500</v>
      </c>
      <c r="I109" s="115">
        <v>0</v>
      </c>
      <c r="J109" s="25">
        <f>9915.3+1118.15+460.1</f>
        <v>11493.55</v>
      </c>
      <c r="K109" s="76">
        <f>9915.3+1118.15+460.1</f>
        <v>11493.55</v>
      </c>
      <c r="L109" s="115">
        <f>SUM(H109-K109)</f>
        <v>6.4500000000007276</v>
      </c>
      <c r="M109" s="31">
        <f>SUM(G109-H109)</f>
        <v>0</v>
      </c>
      <c r="N109" s="115">
        <f>SUM(-I109+L109+M109)</f>
        <v>6.4500000000007276</v>
      </c>
      <c r="O109" s="118">
        <f>3975.05+3697.92+1622.59</f>
        <v>9295.56</v>
      </c>
      <c r="P109" s="119">
        <f t="shared" si="37"/>
        <v>2197.9899999999998</v>
      </c>
      <c r="Q109" s="113">
        <f>SUM(K109/H109*100%)</f>
        <v>0.9994391304347825</v>
      </c>
      <c r="R109" s="120">
        <f t="shared" si="36"/>
        <v>0.9994391304347825</v>
      </c>
      <c r="S109" s="121">
        <f t="shared" si="34"/>
        <v>0.9994391304347825</v>
      </c>
    </row>
    <row r="110" spans="1:44" ht="13" thickBot="1" x14ac:dyDescent="0.2">
      <c r="A110" s="122">
        <v>380</v>
      </c>
      <c r="B110" s="123" t="s">
        <v>155</v>
      </c>
      <c r="C110" s="124">
        <v>0</v>
      </c>
      <c r="D110" s="124">
        <v>0</v>
      </c>
      <c r="E110" s="124">
        <v>0</v>
      </c>
      <c r="F110" s="125">
        <f>40000+30000-13505</f>
        <v>56495</v>
      </c>
      <c r="G110" s="126">
        <f t="shared" si="30"/>
        <v>56495</v>
      </c>
      <c r="H110" s="127">
        <f>40000+30000-13505</f>
        <v>56495</v>
      </c>
      <c r="I110" s="124">
        <v>0</v>
      </c>
      <c r="J110" s="127">
        <f>23309.95+15836+1107.4+11036.01+1384.15</f>
        <v>52673.51</v>
      </c>
      <c r="K110" s="128">
        <f>26466.45+12679.5+1107.4+11036.01+1384.15</f>
        <v>52673.51</v>
      </c>
      <c r="L110" s="124">
        <f>SUM(H110-K110)</f>
        <v>3821.489999999998</v>
      </c>
      <c r="M110" s="129">
        <f>SUM(G110-H110)</f>
        <v>0</v>
      </c>
      <c r="N110" s="124">
        <f>SUM(-I110+L110+M110)</f>
        <v>3821.489999999998</v>
      </c>
      <c r="O110" s="130">
        <f>12679.5+23737.95</f>
        <v>36417.449999999997</v>
      </c>
      <c r="P110" s="131">
        <f t="shared" si="37"/>
        <v>16256.060000000005</v>
      </c>
      <c r="Q110" s="113">
        <f>SUM(K110/H110*100%)</f>
        <v>0.93235702274537569</v>
      </c>
      <c r="R110" s="132">
        <f t="shared" si="36"/>
        <v>0.93235702274537569</v>
      </c>
      <c r="S110" s="133">
        <f t="shared" si="34"/>
        <v>0.93235702274537569</v>
      </c>
    </row>
  </sheetData>
  <mergeCells count="7">
    <mergeCell ref="A8:B8"/>
    <mergeCell ref="A1:S1"/>
    <mergeCell ref="A2:S2"/>
    <mergeCell ref="A3:S3"/>
    <mergeCell ref="A4:S4"/>
    <mergeCell ref="A5:S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Microsoft Office User</cp:lastModifiedBy>
  <dcterms:created xsi:type="dcterms:W3CDTF">2021-11-09T23:52:06Z</dcterms:created>
  <dcterms:modified xsi:type="dcterms:W3CDTF">2021-12-15T21:53:31Z</dcterms:modified>
</cp:coreProperties>
</file>