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rodriguez/Desktop/"/>
    </mc:Choice>
  </mc:AlternateContent>
  <xr:revisionPtr revIDLastSave="0" documentId="8_{B824CFE1-FB0D-7842-8012-8EC1B610CD5E}" xr6:coauthVersionLast="46" xr6:coauthVersionMax="46" xr10:uidLastSave="{00000000-0000-0000-0000-000000000000}"/>
  <bookViews>
    <workbookView xWindow="0" yWindow="460" windowWidth="28800" windowHeight="15720" xr2:uid="{5F64FC2B-9924-429D-9667-A3BEAE92A335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11" i="1" l="1"/>
  <c r="T111" i="1"/>
  <c r="S111" i="1"/>
  <c r="Q111" i="1"/>
  <c r="R111" i="1" s="1"/>
  <c r="P111" i="1"/>
  <c r="O111" i="1"/>
  <c r="N111" i="1"/>
  <c r="M111" i="1"/>
  <c r="K111" i="1"/>
  <c r="J111" i="1"/>
  <c r="H111" i="1"/>
  <c r="G111" i="1"/>
  <c r="F111" i="1"/>
  <c r="R110" i="1"/>
  <c r="Q110" i="1"/>
  <c r="N110" i="1"/>
  <c r="P110" i="1" s="1"/>
  <c r="M110" i="1"/>
  <c r="K110" i="1"/>
  <c r="S110" i="1" s="1"/>
  <c r="J110" i="1"/>
  <c r="T110" i="1" s="1"/>
  <c r="H110" i="1"/>
  <c r="F110" i="1"/>
  <c r="G110" i="1" s="1"/>
  <c r="O110" i="1" s="1"/>
  <c r="Q109" i="1"/>
  <c r="O109" i="1"/>
  <c r="M109" i="1"/>
  <c r="K109" i="1"/>
  <c r="K104" i="1" s="1"/>
  <c r="J109" i="1"/>
  <c r="T109" i="1" s="1"/>
  <c r="H109" i="1"/>
  <c r="N109" i="1" s="1"/>
  <c r="P109" i="1" s="1"/>
  <c r="G109" i="1"/>
  <c r="F109" i="1"/>
  <c r="R108" i="1"/>
  <c r="M108" i="1"/>
  <c r="H108" i="1"/>
  <c r="N108" i="1" s="1"/>
  <c r="P108" i="1" s="1"/>
  <c r="F108" i="1"/>
  <c r="G108" i="1" s="1"/>
  <c r="O108" i="1" s="1"/>
  <c r="U107" i="1"/>
  <c r="T107" i="1"/>
  <c r="S107" i="1"/>
  <c r="R107" i="1"/>
  <c r="Q107" i="1"/>
  <c r="O107" i="1"/>
  <c r="M107" i="1"/>
  <c r="J107" i="1"/>
  <c r="H107" i="1"/>
  <c r="N107" i="1" s="1"/>
  <c r="P107" i="1" s="1"/>
  <c r="G107" i="1"/>
  <c r="F107" i="1"/>
  <c r="R106" i="1"/>
  <c r="M106" i="1"/>
  <c r="G106" i="1"/>
  <c r="S105" i="1"/>
  <c r="R105" i="1"/>
  <c r="Q105" i="1"/>
  <c r="K105" i="1"/>
  <c r="M105" i="1" s="1"/>
  <c r="J105" i="1"/>
  <c r="J104" i="1" s="1"/>
  <c r="H105" i="1"/>
  <c r="N105" i="1" s="1"/>
  <c r="F105" i="1"/>
  <c r="G105" i="1" s="1"/>
  <c r="Q104" i="1"/>
  <c r="Q103" i="1"/>
  <c r="Q102" i="1" s="1"/>
  <c r="Q101" i="1" s="1"/>
  <c r="M103" i="1"/>
  <c r="K103" i="1"/>
  <c r="R103" i="1" s="1"/>
  <c r="J103" i="1"/>
  <c r="J102" i="1" s="1"/>
  <c r="H103" i="1"/>
  <c r="N103" i="1" s="1"/>
  <c r="P103" i="1" s="1"/>
  <c r="G103" i="1"/>
  <c r="F103" i="1"/>
  <c r="M102" i="1"/>
  <c r="K102" i="1"/>
  <c r="K101" i="1" s="1"/>
  <c r="H102" i="1"/>
  <c r="N102" i="1" s="1"/>
  <c r="G102" i="1"/>
  <c r="F102" i="1"/>
  <c r="U100" i="1"/>
  <c r="T100" i="1"/>
  <c r="S100" i="1"/>
  <c r="R100" i="1"/>
  <c r="Q100" i="1"/>
  <c r="O100" i="1"/>
  <c r="N100" i="1"/>
  <c r="P100" i="1" s="1"/>
  <c r="M100" i="1"/>
  <c r="G100" i="1"/>
  <c r="S99" i="1"/>
  <c r="R99" i="1"/>
  <c r="Q99" i="1"/>
  <c r="M99" i="1"/>
  <c r="K99" i="1"/>
  <c r="U99" i="1" s="1"/>
  <c r="J99" i="1"/>
  <c r="T99" i="1" s="1"/>
  <c r="H99" i="1"/>
  <c r="G99" i="1"/>
  <c r="F99" i="1"/>
  <c r="R98" i="1"/>
  <c r="M98" i="1"/>
  <c r="H98" i="1"/>
  <c r="N98" i="1" s="1"/>
  <c r="P98" i="1" s="1"/>
  <c r="F98" i="1"/>
  <c r="G98" i="1" s="1"/>
  <c r="O98" i="1" s="1"/>
  <c r="S97" i="1"/>
  <c r="R97" i="1"/>
  <c r="R95" i="1" s="1"/>
  <c r="Q97" i="1"/>
  <c r="Q95" i="1" s="1"/>
  <c r="K97" i="1"/>
  <c r="M97" i="1" s="1"/>
  <c r="J97" i="1"/>
  <c r="H97" i="1"/>
  <c r="N97" i="1" s="1"/>
  <c r="F97" i="1"/>
  <c r="G97" i="1" s="1"/>
  <c r="O96" i="1"/>
  <c r="M96" i="1"/>
  <c r="K96" i="1"/>
  <c r="R96" i="1" s="1"/>
  <c r="H96" i="1"/>
  <c r="N96" i="1" s="1"/>
  <c r="P96" i="1" s="1"/>
  <c r="G96" i="1"/>
  <c r="F96" i="1"/>
  <c r="M95" i="1"/>
  <c r="K95" i="1"/>
  <c r="I95" i="1"/>
  <c r="I8" i="1" s="1"/>
  <c r="I7" i="1" s="1"/>
  <c r="H95" i="1"/>
  <c r="E95" i="1"/>
  <c r="D95" i="1"/>
  <c r="C95" i="1"/>
  <c r="N94" i="1"/>
  <c r="M94" i="1"/>
  <c r="K94" i="1"/>
  <c r="U94" i="1" s="1"/>
  <c r="J94" i="1"/>
  <c r="T94" i="1" s="1"/>
  <c r="H94" i="1"/>
  <c r="G94" i="1"/>
  <c r="O94" i="1" s="1"/>
  <c r="F94" i="1"/>
  <c r="Q93" i="1"/>
  <c r="K93" i="1"/>
  <c r="M93" i="1" s="1"/>
  <c r="J93" i="1"/>
  <c r="T93" i="1" s="1"/>
  <c r="H93" i="1"/>
  <c r="N93" i="1" s="1"/>
  <c r="P93" i="1" s="1"/>
  <c r="G93" i="1"/>
  <c r="O93" i="1" s="1"/>
  <c r="F93" i="1"/>
  <c r="Q92" i="1"/>
  <c r="K92" i="1"/>
  <c r="R92" i="1" s="1"/>
  <c r="J92" i="1"/>
  <c r="H92" i="1"/>
  <c r="S92" i="1" s="1"/>
  <c r="G92" i="1"/>
  <c r="U92" i="1" s="1"/>
  <c r="F92" i="1"/>
  <c r="R91" i="1"/>
  <c r="P91" i="1"/>
  <c r="O91" i="1"/>
  <c r="N91" i="1"/>
  <c r="M91" i="1"/>
  <c r="G91" i="1"/>
  <c r="Q90" i="1"/>
  <c r="N90" i="1"/>
  <c r="P90" i="1" s="1"/>
  <c r="M90" i="1"/>
  <c r="K90" i="1"/>
  <c r="U90" i="1" s="1"/>
  <c r="J90" i="1"/>
  <c r="T90" i="1" s="1"/>
  <c r="H90" i="1"/>
  <c r="G90" i="1"/>
  <c r="O90" i="1" s="1"/>
  <c r="F90" i="1"/>
  <c r="R89" i="1"/>
  <c r="Q89" i="1"/>
  <c r="M89" i="1"/>
  <c r="J89" i="1"/>
  <c r="T89" i="1" s="1"/>
  <c r="H89" i="1"/>
  <c r="S89" i="1" s="1"/>
  <c r="G89" i="1"/>
  <c r="U89" i="1" s="1"/>
  <c r="F89" i="1"/>
  <c r="S88" i="1"/>
  <c r="R88" i="1"/>
  <c r="M88" i="1"/>
  <c r="K88" i="1"/>
  <c r="K87" i="1" s="1"/>
  <c r="J88" i="1"/>
  <c r="H88" i="1"/>
  <c r="N88" i="1" s="1"/>
  <c r="F88" i="1"/>
  <c r="G88" i="1" s="1"/>
  <c r="Q87" i="1"/>
  <c r="I87" i="1"/>
  <c r="E87" i="1"/>
  <c r="D87" i="1"/>
  <c r="C87" i="1"/>
  <c r="S86" i="1"/>
  <c r="R86" i="1"/>
  <c r="Q86" i="1"/>
  <c r="M86" i="1"/>
  <c r="K86" i="1"/>
  <c r="J86" i="1"/>
  <c r="H86" i="1"/>
  <c r="N86" i="1" s="1"/>
  <c r="F86" i="1"/>
  <c r="G86" i="1" s="1"/>
  <c r="U85" i="1"/>
  <c r="T85" i="1"/>
  <c r="S85" i="1"/>
  <c r="R85" i="1"/>
  <c r="Q85" i="1"/>
  <c r="P85" i="1"/>
  <c r="O85" i="1"/>
  <c r="N85" i="1"/>
  <c r="K85" i="1"/>
  <c r="M85" i="1" s="1"/>
  <c r="J85" i="1"/>
  <c r="G85" i="1"/>
  <c r="Q84" i="1"/>
  <c r="N84" i="1"/>
  <c r="P84" i="1" s="1"/>
  <c r="M84" i="1"/>
  <c r="K84" i="1"/>
  <c r="R84" i="1" s="1"/>
  <c r="J84" i="1"/>
  <c r="T84" i="1" s="1"/>
  <c r="H84" i="1"/>
  <c r="F84" i="1"/>
  <c r="G84" i="1" s="1"/>
  <c r="O84" i="1" s="1"/>
  <c r="Q83" i="1"/>
  <c r="O83" i="1"/>
  <c r="K83" i="1"/>
  <c r="N83" i="1" s="1"/>
  <c r="P83" i="1" s="1"/>
  <c r="J83" i="1"/>
  <c r="T83" i="1" s="1"/>
  <c r="H83" i="1"/>
  <c r="G83" i="1"/>
  <c r="F83" i="1"/>
  <c r="Q82" i="1"/>
  <c r="M82" i="1"/>
  <c r="K82" i="1"/>
  <c r="U82" i="1" s="1"/>
  <c r="J82" i="1"/>
  <c r="T82" i="1" s="1"/>
  <c r="H82" i="1"/>
  <c r="N82" i="1" s="1"/>
  <c r="G82" i="1"/>
  <c r="O82" i="1" s="1"/>
  <c r="F82" i="1"/>
  <c r="Q81" i="1"/>
  <c r="K81" i="1"/>
  <c r="S81" i="1" s="1"/>
  <c r="J81" i="1"/>
  <c r="T81" i="1" s="1"/>
  <c r="H81" i="1"/>
  <c r="N81" i="1" s="1"/>
  <c r="F81" i="1"/>
  <c r="G81" i="1" s="1"/>
  <c r="S80" i="1"/>
  <c r="R80" i="1"/>
  <c r="Q80" i="1"/>
  <c r="M80" i="1"/>
  <c r="K80" i="1"/>
  <c r="J80" i="1"/>
  <c r="H80" i="1"/>
  <c r="N80" i="1" s="1"/>
  <c r="G80" i="1"/>
  <c r="U80" i="1" s="1"/>
  <c r="F80" i="1"/>
  <c r="S79" i="1"/>
  <c r="R79" i="1"/>
  <c r="Q79" i="1"/>
  <c r="M79" i="1"/>
  <c r="K79" i="1"/>
  <c r="J79" i="1"/>
  <c r="H79" i="1"/>
  <c r="N79" i="1" s="1"/>
  <c r="F79" i="1"/>
  <c r="G79" i="1" s="1"/>
  <c r="U78" i="1"/>
  <c r="T78" i="1"/>
  <c r="S78" i="1"/>
  <c r="R78" i="1"/>
  <c r="Q78" i="1"/>
  <c r="P78" i="1"/>
  <c r="O78" i="1"/>
  <c r="N78" i="1"/>
  <c r="K78" i="1"/>
  <c r="M78" i="1" s="1"/>
  <c r="J78" i="1"/>
  <c r="H78" i="1"/>
  <c r="G78" i="1"/>
  <c r="F78" i="1"/>
  <c r="T77" i="1"/>
  <c r="S77" i="1"/>
  <c r="R77" i="1"/>
  <c r="Q77" i="1"/>
  <c r="P77" i="1"/>
  <c r="O77" i="1"/>
  <c r="N77" i="1"/>
  <c r="M77" i="1"/>
  <c r="K77" i="1"/>
  <c r="U77" i="1" s="1"/>
  <c r="J77" i="1"/>
  <c r="H77" i="1"/>
  <c r="G77" i="1"/>
  <c r="F77" i="1"/>
  <c r="O76" i="1"/>
  <c r="M76" i="1"/>
  <c r="K76" i="1"/>
  <c r="R76" i="1" s="1"/>
  <c r="J76" i="1"/>
  <c r="T76" i="1" s="1"/>
  <c r="G76" i="1"/>
  <c r="Q75" i="1"/>
  <c r="K75" i="1"/>
  <c r="M75" i="1" s="1"/>
  <c r="J75" i="1"/>
  <c r="T75" i="1" s="1"/>
  <c r="H75" i="1"/>
  <c r="N75" i="1" s="1"/>
  <c r="G75" i="1"/>
  <c r="O75" i="1" s="1"/>
  <c r="F75" i="1"/>
  <c r="Q74" i="1"/>
  <c r="K74" i="1"/>
  <c r="R74" i="1" s="1"/>
  <c r="J74" i="1"/>
  <c r="H74" i="1"/>
  <c r="S74" i="1" s="1"/>
  <c r="G74" i="1"/>
  <c r="U74" i="1" s="1"/>
  <c r="F74" i="1"/>
  <c r="S73" i="1"/>
  <c r="R73" i="1"/>
  <c r="Q73" i="1"/>
  <c r="N73" i="1"/>
  <c r="M73" i="1"/>
  <c r="K73" i="1"/>
  <c r="J73" i="1"/>
  <c r="H73" i="1"/>
  <c r="F73" i="1"/>
  <c r="G73" i="1" s="1"/>
  <c r="S72" i="1"/>
  <c r="R72" i="1"/>
  <c r="Q72" i="1"/>
  <c r="K72" i="1"/>
  <c r="M72" i="1" s="1"/>
  <c r="J72" i="1"/>
  <c r="H72" i="1"/>
  <c r="N72" i="1" s="1"/>
  <c r="F72" i="1"/>
  <c r="G72" i="1" s="1"/>
  <c r="U71" i="1"/>
  <c r="T71" i="1"/>
  <c r="S71" i="1"/>
  <c r="Q71" i="1"/>
  <c r="R71" i="1" s="1"/>
  <c r="P71" i="1"/>
  <c r="O71" i="1"/>
  <c r="N71" i="1"/>
  <c r="M71" i="1"/>
  <c r="K71" i="1"/>
  <c r="J71" i="1"/>
  <c r="H71" i="1"/>
  <c r="G71" i="1"/>
  <c r="F71" i="1"/>
  <c r="R70" i="1"/>
  <c r="M70" i="1"/>
  <c r="K70" i="1"/>
  <c r="S70" i="1" s="1"/>
  <c r="J70" i="1"/>
  <c r="T70" i="1" s="1"/>
  <c r="H70" i="1"/>
  <c r="N70" i="1" s="1"/>
  <c r="P70" i="1" s="1"/>
  <c r="G70" i="1"/>
  <c r="F70" i="1"/>
  <c r="Q69" i="1"/>
  <c r="N69" i="1"/>
  <c r="P69" i="1" s="1"/>
  <c r="M69" i="1"/>
  <c r="K69" i="1"/>
  <c r="U69" i="1" s="1"/>
  <c r="J69" i="1"/>
  <c r="T69" i="1" s="1"/>
  <c r="H69" i="1"/>
  <c r="G69" i="1"/>
  <c r="O69" i="1" s="1"/>
  <c r="F69" i="1"/>
  <c r="Q68" i="1"/>
  <c r="K68" i="1"/>
  <c r="S68" i="1" s="1"/>
  <c r="J68" i="1"/>
  <c r="T68" i="1" s="1"/>
  <c r="H68" i="1"/>
  <c r="N68" i="1" s="1"/>
  <c r="P68" i="1" s="1"/>
  <c r="F68" i="1"/>
  <c r="G68" i="1" s="1"/>
  <c r="U68" i="1" s="1"/>
  <c r="S67" i="1"/>
  <c r="R67" i="1"/>
  <c r="Q67" i="1"/>
  <c r="M67" i="1"/>
  <c r="K67" i="1"/>
  <c r="J67" i="1"/>
  <c r="H67" i="1"/>
  <c r="N67" i="1" s="1"/>
  <c r="G67" i="1"/>
  <c r="U67" i="1" s="1"/>
  <c r="F67" i="1"/>
  <c r="S66" i="1"/>
  <c r="R66" i="1"/>
  <c r="Q66" i="1"/>
  <c r="M66" i="1"/>
  <c r="K66" i="1"/>
  <c r="J66" i="1"/>
  <c r="H66" i="1"/>
  <c r="N66" i="1" s="1"/>
  <c r="F66" i="1"/>
  <c r="G66" i="1" s="1"/>
  <c r="U65" i="1"/>
  <c r="T65" i="1"/>
  <c r="S65" i="1"/>
  <c r="R65" i="1"/>
  <c r="Q65" i="1"/>
  <c r="P65" i="1"/>
  <c r="O65" i="1"/>
  <c r="N65" i="1"/>
  <c r="K65" i="1"/>
  <c r="M65" i="1" s="1"/>
  <c r="J65" i="1"/>
  <c r="H65" i="1"/>
  <c r="G65" i="1"/>
  <c r="F65" i="1"/>
  <c r="T64" i="1"/>
  <c r="S64" i="1"/>
  <c r="R64" i="1"/>
  <c r="Q64" i="1"/>
  <c r="P64" i="1"/>
  <c r="O64" i="1"/>
  <c r="N64" i="1"/>
  <c r="M64" i="1"/>
  <c r="K64" i="1"/>
  <c r="U64" i="1" s="1"/>
  <c r="J64" i="1"/>
  <c r="H64" i="1"/>
  <c r="G64" i="1"/>
  <c r="F64" i="1"/>
  <c r="Q63" i="1"/>
  <c r="N63" i="1"/>
  <c r="P63" i="1" s="1"/>
  <c r="M63" i="1"/>
  <c r="K63" i="1"/>
  <c r="R63" i="1" s="1"/>
  <c r="J63" i="1"/>
  <c r="H63" i="1"/>
  <c r="F63" i="1"/>
  <c r="G63" i="1" s="1"/>
  <c r="O63" i="1" s="1"/>
  <c r="Q62" i="1"/>
  <c r="O62" i="1"/>
  <c r="K62" i="1"/>
  <c r="K54" i="1" s="1"/>
  <c r="J62" i="1"/>
  <c r="T62" i="1" s="1"/>
  <c r="H62" i="1"/>
  <c r="G62" i="1"/>
  <c r="F62" i="1"/>
  <c r="Q61" i="1"/>
  <c r="M61" i="1"/>
  <c r="K61" i="1"/>
  <c r="U61" i="1" s="1"/>
  <c r="J61" i="1"/>
  <c r="T61" i="1" s="1"/>
  <c r="H61" i="1"/>
  <c r="N61" i="1" s="1"/>
  <c r="P61" i="1" s="1"/>
  <c r="G61" i="1"/>
  <c r="O61" i="1" s="1"/>
  <c r="F61" i="1"/>
  <c r="Q60" i="1"/>
  <c r="K60" i="1"/>
  <c r="S60" i="1" s="1"/>
  <c r="J60" i="1"/>
  <c r="H60" i="1"/>
  <c r="N60" i="1" s="1"/>
  <c r="F60" i="1"/>
  <c r="G60" i="1" s="1"/>
  <c r="S59" i="1"/>
  <c r="R59" i="1"/>
  <c r="Q59" i="1"/>
  <c r="N59" i="1"/>
  <c r="P59" i="1" s="1"/>
  <c r="M59" i="1"/>
  <c r="K59" i="1"/>
  <c r="J59" i="1"/>
  <c r="H59" i="1"/>
  <c r="F59" i="1"/>
  <c r="G59" i="1" s="1"/>
  <c r="S58" i="1"/>
  <c r="R58" i="1"/>
  <c r="Q58" i="1"/>
  <c r="K58" i="1"/>
  <c r="M58" i="1" s="1"/>
  <c r="J58" i="1"/>
  <c r="H58" i="1"/>
  <c r="N58" i="1" s="1"/>
  <c r="F58" i="1"/>
  <c r="G58" i="1" s="1"/>
  <c r="T57" i="1"/>
  <c r="S57" i="1"/>
  <c r="R57" i="1"/>
  <c r="P57" i="1"/>
  <c r="O57" i="1"/>
  <c r="N57" i="1"/>
  <c r="M57" i="1"/>
  <c r="K57" i="1"/>
  <c r="U57" i="1" s="1"/>
  <c r="J57" i="1"/>
  <c r="H57" i="1"/>
  <c r="G57" i="1"/>
  <c r="F57" i="1"/>
  <c r="Q56" i="1"/>
  <c r="Q54" i="1" s="1"/>
  <c r="N56" i="1"/>
  <c r="M56" i="1"/>
  <c r="K56" i="1"/>
  <c r="R56" i="1" s="1"/>
  <c r="J56" i="1"/>
  <c r="H56" i="1"/>
  <c r="F56" i="1"/>
  <c r="G56" i="1" s="1"/>
  <c r="Q55" i="1"/>
  <c r="N55" i="1"/>
  <c r="P55" i="1" s="1"/>
  <c r="M55" i="1"/>
  <c r="K55" i="1"/>
  <c r="U55" i="1" s="1"/>
  <c r="J55" i="1"/>
  <c r="J54" i="1" s="1"/>
  <c r="H55" i="1"/>
  <c r="G55" i="1"/>
  <c r="F55" i="1"/>
  <c r="I54" i="1"/>
  <c r="H54" i="1"/>
  <c r="E54" i="1"/>
  <c r="D54" i="1"/>
  <c r="C54" i="1"/>
  <c r="Q53" i="1"/>
  <c r="N53" i="1"/>
  <c r="M53" i="1"/>
  <c r="K53" i="1"/>
  <c r="U53" i="1" s="1"/>
  <c r="J53" i="1"/>
  <c r="T53" i="1" s="1"/>
  <c r="G53" i="1"/>
  <c r="O53" i="1" s="1"/>
  <c r="Q52" i="1"/>
  <c r="K52" i="1"/>
  <c r="R52" i="1" s="1"/>
  <c r="J52" i="1"/>
  <c r="H52" i="1"/>
  <c r="S52" i="1" s="1"/>
  <c r="G52" i="1"/>
  <c r="U52" i="1" s="1"/>
  <c r="F52" i="1"/>
  <c r="U51" i="1"/>
  <c r="T51" i="1"/>
  <c r="S51" i="1"/>
  <c r="R51" i="1"/>
  <c r="Q51" i="1"/>
  <c r="N51" i="1"/>
  <c r="M51" i="1"/>
  <c r="K51" i="1"/>
  <c r="J51" i="1"/>
  <c r="G51" i="1"/>
  <c r="O51" i="1" s="1"/>
  <c r="U50" i="1"/>
  <c r="T50" i="1"/>
  <c r="S50" i="1"/>
  <c r="R50" i="1"/>
  <c r="P50" i="1"/>
  <c r="O50" i="1"/>
  <c r="N50" i="1"/>
  <c r="M50" i="1"/>
  <c r="H50" i="1"/>
  <c r="G50" i="1"/>
  <c r="F50" i="1"/>
  <c r="R49" i="1"/>
  <c r="N49" i="1"/>
  <c r="P49" i="1" s="1"/>
  <c r="M49" i="1"/>
  <c r="H49" i="1"/>
  <c r="S49" i="1" s="1"/>
  <c r="G49" i="1"/>
  <c r="O49" i="1" s="1"/>
  <c r="F49" i="1"/>
  <c r="S48" i="1"/>
  <c r="M48" i="1"/>
  <c r="K48" i="1"/>
  <c r="R48" i="1" s="1"/>
  <c r="J48" i="1"/>
  <c r="H48" i="1"/>
  <c r="N48" i="1" s="1"/>
  <c r="G48" i="1"/>
  <c r="U48" i="1" s="1"/>
  <c r="F48" i="1"/>
  <c r="S47" i="1"/>
  <c r="R47" i="1"/>
  <c r="Q47" i="1"/>
  <c r="M47" i="1"/>
  <c r="K47" i="1"/>
  <c r="J47" i="1"/>
  <c r="H47" i="1"/>
  <c r="N47" i="1" s="1"/>
  <c r="F47" i="1"/>
  <c r="G47" i="1" s="1"/>
  <c r="U46" i="1"/>
  <c r="T46" i="1"/>
  <c r="S46" i="1"/>
  <c r="R46" i="1"/>
  <c r="Q46" i="1"/>
  <c r="P46" i="1"/>
  <c r="O46" i="1"/>
  <c r="N46" i="1"/>
  <c r="M46" i="1"/>
  <c r="H46" i="1"/>
  <c r="G46" i="1"/>
  <c r="F46" i="1"/>
  <c r="Q45" i="1"/>
  <c r="N45" i="1"/>
  <c r="P45" i="1" s="1"/>
  <c r="M45" i="1"/>
  <c r="K45" i="1"/>
  <c r="R45" i="1" s="1"/>
  <c r="H45" i="1"/>
  <c r="O45" i="1" s="1"/>
  <c r="G45" i="1"/>
  <c r="T45" i="1" s="1"/>
  <c r="F45" i="1"/>
  <c r="R44" i="1"/>
  <c r="P44" i="1"/>
  <c r="N44" i="1"/>
  <c r="M44" i="1"/>
  <c r="H44" i="1"/>
  <c r="F44" i="1"/>
  <c r="G44" i="1" s="1"/>
  <c r="S43" i="1"/>
  <c r="R43" i="1"/>
  <c r="Q43" i="1"/>
  <c r="N43" i="1"/>
  <c r="K43" i="1"/>
  <c r="M43" i="1" s="1"/>
  <c r="J43" i="1"/>
  <c r="H43" i="1"/>
  <c r="F43" i="1"/>
  <c r="G43" i="1" s="1"/>
  <c r="T42" i="1"/>
  <c r="S42" i="1"/>
  <c r="R42" i="1"/>
  <c r="Q42" i="1"/>
  <c r="P42" i="1"/>
  <c r="O42" i="1"/>
  <c r="N42" i="1"/>
  <c r="M42" i="1"/>
  <c r="K42" i="1"/>
  <c r="U42" i="1" s="1"/>
  <c r="J42" i="1"/>
  <c r="H42" i="1"/>
  <c r="G42" i="1"/>
  <c r="F42" i="1"/>
  <c r="Q41" i="1"/>
  <c r="N41" i="1"/>
  <c r="P41" i="1" s="1"/>
  <c r="M41" i="1"/>
  <c r="K41" i="1"/>
  <c r="R41" i="1" s="1"/>
  <c r="J41" i="1"/>
  <c r="T41" i="1" s="1"/>
  <c r="H41" i="1"/>
  <c r="F41" i="1"/>
  <c r="G41" i="1" s="1"/>
  <c r="O41" i="1" s="1"/>
  <c r="Q40" i="1"/>
  <c r="O40" i="1"/>
  <c r="K40" i="1"/>
  <c r="N40" i="1" s="1"/>
  <c r="P40" i="1" s="1"/>
  <c r="J40" i="1"/>
  <c r="T40" i="1" s="1"/>
  <c r="H40" i="1"/>
  <c r="G40" i="1"/>
  <c r="F40" i="1"/>
  <c r="R39" i="1"/>
  <c r="N39" i="1"/>
  <c r="P39" i="1" s="1"/>
  <c r="M39" i="1"/>
  <c r="H39" i="1"/>
  <c r="F39" i="1"/>
  <c r="G39" i="1" s="1"/>
  <c r="O39" i="1" s="1"/>
  <c r="R38" i="1"/>
  <c r="M38" i="1"/>
  <c r="H38" i="1"/>
  <c r="N38" i="1" s="1"/>
  <c r="P38" i="1" s="1"/>
  <c r="G38" i="1"/>
  <c r="F38" i="1"/>
  <c r="Q37" i="1"/>
  <c r="K37" i="1"/>
  <c r="M37" i="1" s="1"/>
  <c r="J37" i="1"/>
  <c r="J20" i="1" s="1"/>
  <c r="H37" i="1"/>
  <c r="N37" i="1" s="1"/>
  <c r="P37" i="1" s="1"/>
  <c r="G37" i="1"/>
  <c r="O37" i="1" s="1"/>
  <c r="F37" i="1"/>
  <c r="R36" i="1"/>
  <c r="K36" i="1"/>
  <c r="M36" i="1" s="1"/>
  <c r="H36" i="1"/>
  <c r="N36" i="1" s="1"/>
  <c r="F36" i="1"/>
  <c r="G36" i="1" s="1"/>
  <c r="O36" i="1" s="1"/>
  <c r="T35" i="1"/>
  <c r="S35" i="1"/>
  <c r="R35" i="1"/>
  <c r="Q35" i="1"/>
  <c r="P35" i="1"/>
  <c r="O35" i="1"/>
  <c r="N35" i="1"/>
  <c r="M35" i="1"/>
  <c r="K35" i="1"/>
  <c r="U35" i="1" s="1"/>
  <c r="J35" i="1"/>
  <c r="H35" i="1"/>
  <c r="G35" i="1"/>
  <c r="F35" i="1"/>
  <c r="Q34" i="1"/>
  <c r="N34" i="1"/>
  <c r="M34" i="1"/>
  <c r="K34" i="1"/>
  <c r="R34" i="1" s="1"/>
  <c r="J34" i="1"/>
  <c r="T34" i="1" s="1"/>
  <c r="H34" i="1"/>
  <c r="F34" i="1"/>
  <c r="G34" i="1" s="1"/>
  <c r="O34" i="1" s="1"/>
  <c r="R33" i="1"/>
  <c r="M33" i="1"/>
  <c r="H33" i="1"/>
  <c r="N33" i="1" s="1"/>
  <c r="P33" i="1" s="1"/>
  <c r="G33" i="1"/>
  <c r="O33" i="1" s="1"/>
  <c r="F33" i="1"/>
  <c r="S32" i="1"/>
  <c r="R32" i="1"/>
  <c r="Q32" i="1"/>
  <c r="M32" i="1"/>
  <c r="K32" i="1"/>
  <c r="J32" i="1"/>
  <c r="H32" i="1"/>
  <c r="N32" i="1" s="1"/>
  <c r="F32" i="1"/>
  <c r="G32" i="1" s="1"/>
  <c r="U31" i="1"/>
  <c r="T31" i="1"/>
  <c r="S31" i="1"/>
  <c r="R31" i="1"/>
  <c r="Q31" i="1"/>
  <c r="P31" i="1"/>
  <c r="O31" i="1"/>
  <c r="N31" i="1"/>
  <c r="K31" i="1"/>
  <c r="M31" i="1" s="1"/>
  <c r="H31" i="1"/>
  <c r="G31" i="1"/>
  <c r="F31" i="1"/>
  <c r="E31" i="1"/>
  <c r="T30" i="1"/>
  <c r="S30" i="1"/>
  <c r="R30" i="1"/>
  <c r="Q30" i="1"/>
  <c r="P30" i="1"/>
  <c r="O30" i="1"/>
  <c r="N30" i="1"/>
  <c r="M30" i="1"/>
  <c r="K30" i="1"/>
  <c r="U30" i="1" s="1"/>
  <c r="J30" i="1"/>
  <c r="H30" i="1"/>
  <c r="G30" i="1"/>
  <c r="F30" i="1"/>
  <c r="E30" i="1"/>
  <c r="R29" i="1"/>
  <c r="Q29" i="1"/>
  <c r="N29" i="1"/>
  <c r="M29" i="1"/>
  <c r="K29" i="1"/>
  <c r="S29" i="1" s="1"/>
  <c r="J29" i="1"/>
  <c r="T29" i="1" s="1"/>
  <c r="H29" i="1"/>
  <c r="F29" i="1"/>
  <c r="E29" i="1"/>
  <c r="G29" i="1" s="1"/>
  <c r="O29" i="1" s="1"/>
  <c r="Q28" i="1"/>
  <c r="N28" i="1"/>
  <c r="P28" i="1" s="1"/>
  <c r="M28" i="1"/>
  <c r="K28" i="1"/>
  <c r="R28" i="1" s="1"/>
  <c r="J28" i="1"/>
  <c r="T28" i="1" s="1"/>
  <c r="H28" i="1"/>
  <c r="F28" i="1"/>
  <c r="E28" i="1"/>
  <c r="G28" i="1" s="1"/>
  <c r="O28" i="1" s="1"/>
  <c r="S27" i="1"/>
  <c r="R27" i="1"/>
  <c r="N27" i="1"/>
  <c r="M27" i="1"/>
  <c r="G27" i="1"/>
  <c r="O27" i="1" s="1"/>
  <c r="U26" i="1"/>
  <c r="T26" i="1"/>
  <c r="S26" i="1"/>
  <c r="R26" i="1"/>
  <c r="N26" i="1"/>
  <c r="M26" i="1"/>
  <c r="H26" i="1"/>
  <c r="G26" i="1"/>
  <c r="O26" i="1" s="1"/>
  <c r="T25" i="1"/>
  <c r="S25" i="1"/>
  <c r="R25" i="1"/>
  <c r="Q25" i="1"/>
  <c r="P25" i="1"/>
  <c r="O25" i="1"/>
  <c r="N25" i="1"/>
  <c r="M25" i="1"/>
  <c r="K25" i="1"/>
  <c r="U25" i="1" s="1"/>
  <c r="J25" i="1"/>
  <c r="H25" i="1"/>
  <c r="G25" i="1"/>
  <c r="R24" i="1"/>
  <c r="M24" i="1"/>
  <c r="H24" i="1"/>
  <c r="N24" i="1" s="1"/>
  <c r="G24" i="1"/>
  <c r="O24" i="1" s="1"/>
  <c r="F24" i="1"/>
  <c r="S23" i="1"/>
  <c r="R23" i="1"/>
  <c r="Q23" i="1"/>
  <c r="N23" i="1"/>
  <c r="M23" i="1"/>
  <c r="K23" i="1"/>
  <c r="J23" i="1"/>
  <c r="H23" i="1"/>
  <c r="F23" i="1"/>
  <c r="G23" i="1" s="1"/>
  <c r="U22" i="1"/>
  <c r="T22" i="1"/>
  <c r="S22" i="1"/>
  <c r="R22" i="1"/>
  <c r="P22" i="1"/>
  <c r="N22" i="1"/>
  <c r="M22" i="1"/>
  <c r="K22" i="1"/>
  <c r="J22" i="1"/>
  <c r="H22" i="1"/>
  <c r="G22" i="1"/>
  <c r="F22" i="1"/>
  <c r="R21" i="1"/>
  <c r="Q21" i="1"/>
  <c r="O21" i="1"/>
  <c r="N21" i="1"/>
  <c r="P21" i="1" s="1"/>
  <c r="M21" i="1"/>
  <c r="K21" i="1"/>
  <c r="S21" i="1" s="1"/>
  <c r="J21" i="1"/>
  <c r="T21" i="1" s="1"/>
  <c r="I21" i="1"/>
  <c r="H21" i="1"/>
  <c r="H20" i="1" s="1"/>
  <c r="G21" i="1"/>
  <c r="G20" i="1" s="1"/>
  <c r="F21" i="1"/>
  <c r="Q20" i="1"/>
  <c r="I20" i="1"/>
  <c r="D20" i="1"/>
  <c r="C20" i="1"/>
  <c r="T19" i="1"/>
  <c r="S19" i="1"/>
  <c r="R19" i="1"/>
  <c r="Q19" i="1"/>
  <c r="P19" i="1"/>
  <c r="O19" i="1"/>
  <c r="N19" i="1"/>
  <c r="M19" i="1"/>
  <c r="K19" i="1"/>
  <c r="U19" i="1" s="1"/>
  <c r="J19" i="1"/>
  <c r="H19" i="1"/>
  <c r="G19" i="1"/>
  <c r="Q18" i="1"/>
  <c r="R18" i="1" s="1"/>
  <c r="O18" i="1"/>
  <c r="M18" i="1"/>
  <c r="H18" i="1"/>
  <c r="N18" i="1" s="1"/>
  <c r="P18" i="1" s="1"/>
  <c r="G18" i="1"/>
  <c r="U18" i="1" s="1"/>
  <c r="U17" i="1"/>
  <c r="Q17" i="1"/>
  <c r="K17" i="1"/>
  <c r="S17" i="1" s="1"/>
  <c r="J17" i="1"/>
  <c r="T17" i="1" s="1"/>
  <c r="H17" i="1"/>
  <c r="N17" i="1" s="1"/>
  <c r="G17" i="1"/>
  <c r="O17" i="1" s="1"/>
  <c r="S16" i="1"/>
  <c r="R16" i="1"/>
  <c r="Q16" i="1"/>
  <c r="N16" i="1"/>
  <c r="M16" i="1"/>
  <c r="K16" i="1"/>
  <c r="J16" i="1"/>
  <c r="H16" i="1"/>
  <c r="F16" i="1"/>
  <c r="G16" i="1" s="1"/>
  <c r="S15" i="1"/>
  <c r="R15" i="1"/>
  <c r="Q15" i="1"/>
  <c r="K15" i="1"/>
  <c r="M15" i="1" s="1"/>
  <c r="J15" i="1"/>
  <c r="H15" i="1"/>
  <c r="N15" i="1" s="1"/>
  <c r="F15" i="1"/>
  <c r="G15" i="1" s="1"/>
  <c r="U14" i="1"/>
  <c r="T14" i="1"/>
  <c r="S14" i="1"/>
  <c r="Q14" i="1"/>
  <c r="R14" i="1" s="1"/>
  <c r="P14" i="1"/>
  <c r="O14" i="1"/>
  <c r="N14" i="1"/>
  <c r="M14" i="1"/>
  <c r="K14" i="1"/>
  <c r="J14" i="1"/>
  <c r="H14" i="1"/>
  <c r="G14" i="1"/>
  <c r="F14" i="1"/>
  <c r="R13" i="1"/>
  <c r="Q13" i="1"/>
  <c r="N13" i="1"/>
  <c r="P13" i="1" s="1"/>
  <c r="M13" i="1"/>
  <c r="K13" i="1"/>
  <c r="S13" i="1" s="1"/>
  <c r="J13" i="1"/>
  <c r="H13" i="1"/>
  <c r="F13" i="1"/>
  <c r="G13" i="1" s="1"/>
  <c r="O13" i="1" s="1"/>
  <c r="Q12" i="1"/>
  <c r="O12" i="1"/>
  <c r="M12" i="1"/>
  <c r="K12" i="1"/>
  <c r="U12" i="1" s="1"/>
  <c r="J12" i="1"/>
  <c r="T12" i="1" s="1"/>
  <c r="H12" i="1"/>
  <c r="N12" i="1" s="1"/>
  <c r="P12" i="1" s="1"/>
  <c r="G12" i="1"/>
  <c r="F12" i="1"/>
  <c r="Q11" i="1"/>
  <c r="N11" i="1"/>
  <c r="M11" i="1"/>
  <c r="K11" i="1"/>
  <c r="U11" i="1" s="1"/>
  <c r="J11" i="1"/>
  <c r="T11" i="1" s="1"/>
  <c r="H11" i="1"/>
  <c r="G11" i="1"/>
  <c r="O11" i="1" s="1"/>
  <c r="Q10" i="1"/>
  <c r="Q9" i="1" s="1"/>
  <c r="K10" i="1"/>
  <c r="S10" i="1" s="1"/>
  <c r="J10" i="1"/>
  <c r="T10" i="1" s="1"/>
  <c r="H10" i="1"/>
  <c r="N10" i="1" s="1"/>
  <c r="F10" i="1"/>
  <c r="G10" i="1" s="1"/>
  <c r="I9" i="1"/>
  <c r="H9" i="1"/>
  <c r="E9" i="1"/>
  <c r="D9" i="1"/>
  <c r="D8" i="1" s="1"/>
  <c r="D7" i="1" s="1"/>
  <c r="C9" i="1"/>
  <c r="C8" i="1" s="1"/>
  <c r="C7" i="1" s="1"/>
  <c r="L8" i="1"/>
  <c r="L7" i="1"/>
  <c r="U58" i="1" l="1"/>
  <c r="T58" i="1"/>
  <c r="O58" i="1"/>
  <c r="P58" i="1" s="1"/>
  <c r="M54" i="1"/>
  <c r="U54" i="1"/>
  <c r="S54" i="1"/>
  <c r="T13" i="1"/>
  <c r="N20" i="1"/>
  <c r="P24" i="1"/>
  <c r="T20" i="1"/>
  <c r="P60" i="1"/>
  <c r="U79" i="1"/>
  <c r="T79" i="1"/>
  <c r="O79" i="1"/>
  <c r="P79" i="1" s="1"/>
  <c r="G87" i="1"/>
  <c r="N95" i="1"/>
  <c r="P97" i="1"/>
  <c r="P95" i="1" s="1"/>
  <c r="P16" i="1"/>
  <c r="U60" i="1"/>
  <c r="O60" i="1"/>
  <c r="T60" i="1"/>
  <c r="U81" i="1"/>
  <c r="O81" i="1"/>
  <c r="P94" i="1"/>
  <c r="P26" i="1"/>
  <c r="P81" i="1"/>
  <c r="S101" i="1"/>
  <c r="M101" i="1"/>
  <c r="U15" i="1"/>
  <c r="T15" i="1"/>
  <c r="O15" i="1"/>
  <c r="P15" i="1" s="1"/>
  <c r="U66" i="1"/>
  <c r="O66" i="1"/>
  <c r="T66" i="1"/>
  <c r="U88" i="1"/>
  <c r="T88" i="1"/>
  <c r="O88" i="1"/>
  <c r="P11" i="1"/>
  <c r="P17" i="1"/>
  <c r="T63" i="1"/>
  <c r="P66" i="1"/>
  <c r="J101" i="1"/>
  <c r="T102" i="1"/>
  <c r="U23" i="1"/>
  <c r="T23" i="1"/>
  <c r="O23" i="1"/>
  <c r="P23" i="1" s="1"/>
  <c r="U72" i="1"/>
  <c r="T72" i="1"/>
  <c r="O72" i="1"/>
  <c r="U59" i="1"/>
  <c r="T59" i="1"/>
  <c r="P72" i="1"/>
  <c r="U86" i="1"/>
  <c r="O86" i="1"/>
  <c r="T86" i="1"/>
  <c r="U87" i="1"/>
  <c r="S87" i="1"/>
  <c r="M87" i="1"/>
  <c r="S104" i="1"/>
  <c r="M104" i="1"/>
  <c r="P86" i="1"/>
  <c r="T32" i="1"/>
  <c r="U32" i="1"/>
  <c r="O32" i="1"/>
  <c r="P32" i="1" s="1"/>
  <c r="U43" i="1"/>
  <c r="T43" i="1"/>
  <c r="O43" i="1"/>
  <c r="P43" i="1" s="1"/>
  <c r="P82" i="1"/>
  <c r="P27" i="1"/>
  <c r="U47" i="1"/>
  <c r="O47" i="1"/>
  <c r="P47" i="1" s="1"/>
  <c r="T47" i="1"/>
  <c r="U105" i="1"/>
  <c r="T105" i="1"/>
  <c r="O105" i="1"/>
  <c r="O101" i="1" s="1"/>
  <c r="G9" i="1"/>
  <c r="U10" i="1"/>
  <c r="O10" i="1"/>
  <c r="T16" i="1"/>
  <c r="U16" i="1"/>
  <c r="O16" i="1"/>
  <c r="P29" i="1"/>
  <c r="P34" i="1"/>
  <c r="P36" i="1"/>
  <c r="N104" i="1"/>
  <c r="P105" i="1"/>
  <c r="P104" i="1" s="1"/>
  <c r="U97" i="1"/>
  <c r="T97" i="1"/>
  <c r="O97" i="1"/>
  <c r="O95" i="1" s="1"/>
  <c r="P10" i="1"/>
  <c r="N9" i="1"/>
  <c r="O56" i="1"/>
  <c r="P56" i="1" s="1"/>
  <c r="G54" i="1"/>
  <c r="T54" i="1" s="1"/>
  <c r="T73" i="1"/>
  <c r="O73" i="1"/>
  <c r="P73" i="1" s="1"/>
  <c r="U73" i="1"/>
  <c r="P51" i="1"/>
  <c r="P53" i="1"/>
  <c r="P67" i="1"/>
  <c r="P75" i="1"/>
  <c r="Q8" i="1"/>
  <c r="Q7" i="1" s="1"/>
  <c r="T56" i="1"/>
  <c r="N101" i="1"/>
  <c r="P102" i="1"/>
  <c r="R104" i="1"/>
  <c r="J9" i="1"/>
  <c r="M10" i="1"/>
  <c r="R12" i="1"/>
  <c r="M17" i="1"/>
  <c r="S28" i="1"/>
  <c r="S34" i="1"/>
  <c r="S41" i="1"/>
  <c r="S45" i="1"/>
  <c r="S56" i="1"/>
  <c r="M60" i="1"/>
  <c r="S63" i="1"/>
  <c r="M68" i="1"/>
  <c r="S76" i="1"/>
  <c r="M81" i="1"/>
  <c r="S84" i="1"/>
  <c r="F87" i="1"/>
  <c r="S103" i="1"/>
  <c r="R109" i="1"/>
  <c r="K9" i="1"/>
  <c r="S12" i="1"/>
  <c r="U13" i="1"/>
  <c r="S18" i="1"/>
  <c r="U21" i="1"/>
  <c r="U29" i="1"/>
  <c r="R40" i="1"/>
  <c r="M52" i="1"/>
  <c r="R55" i="1"/>
  <c r="R62" i="1"/>
  <c r="U70" i="1"/>
  <c r="M74" i="1"/>
  <c r="R83" i="1"/>
  <c r="N89" i="1"/>
  <c r="P89" i="1" s="1"/>
  <c r="M92" i="1"/>
  <c r="R94" i="1"/>
  <c r="T103" i="1"/>
  <c r="S109" i="1"/>
  <c r="U110" i="1"/>
  <c r="R11" i="1"/>
  <c r="T18" i="1"/>
  <c r="T27" i="1"/>
  <c r="U28" i="1"/>
  <c r="U34" i="1"/>
  <c r="S40" i="1"/>
  <c r="U41" i="1"/>
  <c r="U45" i="1"/>
  <c r="N52" i="1"/>
  <c r="R53" i="1"/>
  <c r="S55" i="1"/>
  <c r="U56" i="1"/>
  <c r="S62" i="1"/>
  <c r="U63" i="1"/>
  <c r="R69" i="1"/>
  <c r="N74" i="1"/>
  <c r="P74" i="1" s="1"/>
  <c r="U76" i="1"/>
  <c r="S83" i="1"/>
  <c r="U84" i="1"/>
  <c r="H87" i="1"/>
  <c r="H8" i="1" s="1"/>
  <c r="H7" i="1" s="1"/>
  <c r="R90" i="1"/>
  <c r="N92" i="1"/>
  <c r="S94" i="1"/>
  <c r="R102" i="1"/>
  <c r="R101" i="1" s="1"/>
  <c r="U103" i="1"/>
  <c r="S11" i="1"/>
  <c r="E20" i="1"/>
  <c r="E8" i="1" s="1"/>
  <c r="E7" i="1" s="1"/>
  <c r="U27" i="1"/>
  <c r="T49" i="1"/>
  <c r="O52" i="1"/>
  <c r="S53" i="1"/>
  <c r="T55" i="1"/>
  <c r="R61" i="1"/>
  <c r="S69" i="1"/>
  <c r="O74" i="1"/>
  <c r="R82" i="1"/>
  <c r="S90" i="1"/>
  <c r="O92" i="1"/>
  <c r="S102" i="1"/>
  <c r="F104" i="1"/>
  <c r="U109" i="1"/>
  <c r="F20" i="1"/>
  <c r="R37" i="1"/>
  <c r="U40" i="1"/>
  <c r="O48" i="1"/>
  <c r="P48" i="1" s="1"/>
  <c r="U49" i="1"/>
  <c r="S61" i="1"/>
  <c r="U62" i="1"/>
  <c r="O67" i="1"/>
  <c r="R68" i="1"/>
  <c r="R75" i="1"/>
  <c r="O80" i="1"/>
  <c r="P80" i="1" s="1"/>
  <c r="S82" i="1"/>
  <c r="U83" i="1"/>
  <c r="J87" i="1"/>
  <c r="R93" i="1"/>
  <c r="S95" i="1"/>
  <c r="R10" i="1"/>
  <c r="R17" i="1"/>
  <c r="S37" i="1"/>
  <c r="R60" i="1"/>
  <c r="S75" i="1"/>
  <c r="R81" i="1"/>
  <c r="S93" i="1"/>
  <c r="U102" i="1"/>
  <c r="H104" i="1"/>
  <c r="T37" i="1"/>
  <c r="U37" i="1"/>
  <c r="U75" i="1"/>
  <c r="U93" i="1"/>
  <c r="T48" i="1"/>
  <c r="T52" i="1"/>
  <c r="T74" i="1"/>
  <c r="T92" i="1"/>
  <c r="F95" i="1"/>
  <c r="G95" i="1" s="1"/>
  <c r="U95" i="1" s="1"/>
  <c r="K20" i="1"/>
  <c r="F54" i="1"/>
  <c r="T67" i="1"/>
  <c r="T80" i="1"/>
  <c r="F9" i="1"/>
  <c r="F8" i="1" s="1"/>
  <c r="M40" i="1"/>
  <c r="M62" i="1"/>
  <c r="N76" i="1"/>
  <c r="P76" i="1" s="1"/>
  <c r="M83" i="1"/>
  <c r="J95" i="1"/>
  <c r="N62" i="1"/>
  <c r="P62" i="1" s="1"/>
  <c r="H101" i="1"/>
  <c r="P20" i="1" l="1"/>
  <c r="P54" i="1"/>
  <c r="R9" i="1"/>
  <c r="P9" i="1"/>
  <c r="O9" i="1"/>
  <c r="F7" i="1"/>
  <c r="J8" i="1"/>
  <c r="T9" i="1"/>
  <c r="P52" i="1"/>
  <c r="P101" i="1"/>
  <c r="G8" i="1"/>
  <c r="G7" i="1" s="1"/>
  <c r="O20" i="1"/>
  <c r="T87" i="1"/>
  <c r="O87" i="1"/>
  <c r="R20" i="1"/>
  <c r="M20" i="1"/>
  <c r="U20" i="1"/>
  <c r="S20" i="1"/>
  <c r="G104" i="1"/>
  <c r="F101" i="1"/>
  <c r="G101" i="1" s="1"/>
  <c r="U101" i="1" s="1"/>
  <c r="P92" i="1"/>
  <c r="R54" i="1"/>
  <c r="T95" i="1"/>
  <c r="R87" i="1"/>
  <c r="N54" i="1"/>
  <c r="N8" i="1" s="1"/>
  <c r="N7" i="1" s="1"/>
  <c r="T101" i="1"/>
  <c r="K8" i="1"/>
  <c r="U9" i="1"/>
  <c r="S9" i="1"/>
  <c r="M9" i="1"/>
  <c r="N87" i="1"/>
  <c r="O54" i="1"/>
  <c r="P88" i="1"/>
  <c r="M8" i="1" l="1"/>
  <c r="M7" i="1" s="1"/>
  <c r="K7" i="1"/>
  <c r="U8" i="1"/>
  <c r="S8" i="1"/>
  <c r="J7" i="1"/>
  <c r="T7" i="1" s="1"/>
  <c r="T8" i="1"/>
  <c r="O8" i="1"/>
  <c r="O7" i="1" s="1"/>
  <c r="U104" i="1"/>
  <c r="T104" i="1"/>
  <c r="R8" i="1"/>
  <c r="R7" i="1" s="1"/>
  <c r="P87" i="1"/>
  <c r="P8" i="1" s="1"/>
  <c r="P7" i="1" s="1"/>
  <c r="U7" i="1" l="1"/>
  <c r="S7" i="1"/>
</calcChain>
</file>

<file path=xl/sharedStrings.xml><?xml version="1.0" encoding="utf-8"?>
<sst xmlns="http://schemas.openxmlformats.org/spreadsheetml/2006/main" count="182" uniqueCount="166">
  <si>
    <t xml:space="preserve">  </t>
  </si>
  <si>
    <t>DIRECCIÓN DE ADMINISTRACIÓN Y FINANZAS - DEPARTAMENTO DE PRESUPUESTO</t>
  </si>
  <si>
    <t>INFORME DE EJECUCIÓN PRESUPUESTARIA (FUNCIONAMIENTO)</t>
  </si>
  <si>
    <t>AL 31 DE DICIEMBRE DEL 2021</t>
  </si>
  <si>
    <t>(en balboas)</t>
  </si>
  <si>
    <t>CTA.</t>
  </si>
  <si>
    <t>DESCRIPCIÓN</t>
  </si>
  <si>
    <t xml:space="preserve">(1)     PRESUPUESTO LEY                                                                                                                 
</t>
  </si>
  <si>
    <t>(2)    CONTENSIÓN DEL GASTO</t>
  </si>
  <si>
    <t xml:space="preserve"> (3) PRESUPUESTO LEY                                
</t>
  </si>
  <si>
    <t xml:space="preserve">(4)                    CREDITOS EXTRAORDINARIOS / TRASLADOS   </t>
  </si>
  <si>
    <t xml:space="preserve"> (5) PRESUPUESTO MODIFICADO                                
</t>
  </si>
  <si>
    <t xml:space="preserve">(6)                 ASIGNADO 
</t>
  </si>
  <si>
    <t xml:space="preserve">(7)                    SALDO DE CONTRATOS POR EJECUTAR </t>
  </si>
  <si>
    <t xml:space="preserve">(8)            COMPROMISO MENSUAL      </t>
  </si>
  <si>
    <t>(9)     COMPROMISOS   /EJECUTADO</t>
  </si>
  <si>
    <t xml:space="preserve">(10)                 SALDO A LA FECHA                  (H6-K9)           </t>
  </si>
  <si>
    <t>(11)                     SALDO POR ASIGNAR          (G5-H6)</t>
  </si>
  <si>
    <t>(12)                                   SALDO ANUAL        (I7-L10-M11)</t>
  </si>
  <si>
    <t xml:space="preserve">(13)                 PAGADO </t>
  </si>
  <si>
    <t>(14)                      POR PAGAR A LA FECHA   (K9-O13)</t>
  </si>
  <si>
    <t>% EJEC. (COMP. EJEC. VS PRES. ASIG.) 
(K9/H6)</t>
  </si>
  <si>
    <t>% EJEC. (COMP. MENS. VS PRES. MOD.) 
(J8/G5)</t>
  </si>
  <si>
    <t>(13)   % EJEC. (COMP. EJEC.  VS PRES. MOD.) 
(K9/G5)</t>
  </si>
  <si>
    <t>FUNCIONAMIENTO E INVERSIONES</t>
  </si>
  <si>
    <t xml:space="preserve">FUNCIONAMIENTO </t>
  </si>
  <si>
    <t>SERVICIOS PERSONALES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</si>
  <si>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</si>
  <si>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</si>
  <si>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</si>
  <si>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</si>
  <si>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</si>
  <si>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</si>
  <si>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</si>
  <si>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</si>
  <si>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</si>
  <si>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</si>
  <si>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</si>
  <si>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</si>
  <si>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</si>
  <si>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</si>
  <si>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SUELDOS</t>
  </si>
  <si>
    <t>096</t>
  </si>
  <si>
    <t>III MES</t>
  </si>
  <si>
    <t>099</t>
  </si>
  <si>
    <t>CONTRIBUCIONES A LA SEGURIDAD</t>
  </si>
  <si>
    <t>SERVICIOS NO PERSONALES</t>
  </si>
  <si>
    <t>DE EDIFICIOS Y LOCALES</t>
  </si>
  <si>
    <t>DE EQUIPO ELECTRONICO</t>
  </si>
  <si>
    <t>103</t>
  </si>
  <si>
    <t>DE EQUIPO DE OFICINA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</si>
  <si>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</si>
  <si>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</si>
  <si>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</si>
  <si>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</si>
  <si>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</si>
  <si>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</si>
  <si>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</si>
  <si>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</si>
  <si>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</si>
  <si>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</si>
  <si>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</si>
  <si>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</si>
  <si>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 xml:space="preserve">SERVICIOS DE TELEFONIA CELULAR </t>
  </si>
  <si>
    <t>120</t>
  </si>
  <si>
    <t>IMPRESION, ENCUADERNACION Y OTROS</t>
  </si>
  <si>
    <t>ANUNCIOS Y AVISOS</t>
  </si>
  <si>
    <t>132</t>
  </si>
  <si>
    <t>PROMOCION Y PUBLICIDAD</t>
  </si>
  <si>
    <t>VIÁTICOSS DENTRO DEL PAIS</t>
  </si>
  <si>
    <t>142</t>
  </si>
  <si>
    <t>VIATICOS EN EL EXTERIOR</t>
  </si>
  <si>
    <t>151</t>
  </si>
  <si>
    <t>TRANSPORTE DENTRO DEL PAIS</t>
  </si>
  <si>
    <t>TRANSPORTE DE O PARA EL EXTERIOR</t>
  </si>
  <si>
    <t>TRANSPORTE DE OTRAS PERRSONAS</t>
  </si>
  <si>
    <t>TRANSPRTE DE BIENES</t>
  </si>
  <si>
    <t>164</t>
  </si>
  <si>
    <t>GASTOS DE SEGUROS</t>
  </si>
  <si>
    <t>SERVICIOS COMERCIALES</t>
  </si>
  <si>
    <t>169</t>
  </si>
  <si>
    <t>OTROS SERVICIOS COMERCIALES Y FINANCIEROS</t>
  </si>
  <si>
    <t>CONSULTORÍAS</t>
  </si>
  <si>
    <t>172</t>
  </si>
  <si>
    <t>SERVICIOS ESPECIALES</t>
  </si>
  <si>
    <t>181</t>
  </si>
  <si>
    <t>MANTENIMIENTO Y REP. DE EDIFICIOS</t>
  </si>
  <si>
    <t>182</t>
  </si>
  <si>
    <t>MANT. Y REP. DE MAQUINARIAS Y OTROS EQ.</t>
  </si>
  <si>
    <t xml:space="preserve">MANT. Y REP. DE EQUIPO COMPUTACIÓN </t>
  </si>
  <si>
    <t>SERVICIOS BÁSICOS</t>
  </si>
  <si>
    <t xml:space="preserve"> VIÁTICOS</t>
  </si>
  <si>
    <t>TRANSPORTE DE PERSONAS Y B</t>
  </si>
  <si>
    <t>SERVICIOS COMERCIALES Y FINANCIEROS</t>
  </si>
  <si>
    <t>MANTENIMIENTO Y REPARACIÓN</t>
  </si>
  <si>
    <t>MATERIALES Y SUMINISTROS</t>
  </si>
  <si>
    <t>ALIMENTO PARA CONSUMO HUMANO</t>
  </si>
  <si>
    <t>203</t>
  </si>
  <si>
    <t>BEBIDAS</t>
  </si>
  <si>
    <t>ACABADO TEXTIL</t>
  </si>
  <si>
    <t>CALZADO</t>
  </si>
  <si>
    <t>PRENDAS DE VESTIR</t>
  </si>
  <si>
    <t>221</t>
  </si>
  <si>
    <t>DIESEL</t>
  </si>
  <si>
    <t>223</t>
  </si>
  <si>
    <t>GASOLINA</t>
  </si>
  <si>
    <t>224</t>
  </si>
  <si>
    <t>LUBRICANTES</t>
  </si>
  <si>
    <t>IMPRESOS</t>
  </si>
  <si>
    <t>232</t>
  </si>
  <si>
    <t>PAPELERIA</t>
  </si>
  <si>
    <t>OTROS PRODUCTOS DE PAPEL Y CARTON</t>
  </si>
  <si>
    <t xml:space="preserve">INSECTICIDAS, FUMIGANTES Y OTROS </t>
  </si>
  <si>
    <t>243</t>
  </si>
  <si>
    <t>PINTURAS, COLORANTES Y TINTES</t>
  </si>
  <si>
    <t>PRODUCTOS MEDICINALES Y FARMACÉUTICOS</t>
  </si>
  <si>
    <t>249</t>
  </si>
  <si>
    <t>OTROS PRODUCTOS QUÍMICOS</t>
  </si>
  <si>
    <t>CEMENTO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</si>
  <si>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</si>
  <si>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</si>
  <si>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</si>
  <si>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</si>
  <si>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</si>
  <si>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</si>
  <si>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</si>
  <si>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</si>
  <si>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</si>
  <si>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</si>
  <si>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HERRAMIENTAS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</si>
  <si>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</si>
  <si>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</si>
  <si>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</si>
  <si>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</si>
  <si>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</si>
  <si>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</si>
  <si>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</si>
  <si>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</si>
  <si>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</si>
  <si>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</si>
  <si>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</si>
  <si>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</si>
  <si>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</si>
  <si>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</si>
  <si>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TEXTILES Y VESTUARIO</t>
  </si>
  <si>
    <t xml:space="preserve"> PRODUCTOS VARIOS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</si>
  <si>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</si>
  <si>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</si>
  <si>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</si>
  <si>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</si>
  <si>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</si>
  <si>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</si>
  <si>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</si>
  <si>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</si>
  <si>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</si>
  <si>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</si>
  <si>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</si>
  <si>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TRANSFERENCIAS CORRIENTES</t>
  </si>
  <si>
    <t>INDEMNIZACIONES LABORALES</t>
  </si>
  <si>
    <t>624</t>
  </si>
  <si>
    <t>CAPACITACION Y ESTUDIO</t>
  </si>
  <si>
    <t>629</t>
  </si>
  <si>
    <t>OTRAS BECAS</t>
  </si>
  <si>
    <t>OTRAS TRANSFERENCIAS AL EXTERIOR</t>
  </si>
  <si>
    <t>A PERSONAS</t>
  </si>
  <si>
    <t>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</si>
</sst>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9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0" xfId="0" applyFont="1"/>
    <xf numFmtId="3" fontId="2" fillId="0" borderId="6" xfId="0" applyNumberFormat="1" applyFont="1" applyBorder="1" applyAlignment="1">
      <alignment wrapText="1"/>
    </xf>
    <xf numFmtId="9" fontId="2" fillId="0" borderId="6" xfId="0" applyNumberFormat="1" applyFont="1" applyBorder="1" applyAlignment="1">
      <alignment horizontal="right" vertical="center" wrapText="1"/>
    </xf>
    <xf numFmtId="4" fontId="5" fillId="0" borderId="0" xfId="0" applyNumberFormat="1" applyFont="1"/>
    <xf numFmtId="3" fontId="5" fillId="0" borderId="0" xfId="0" applyNumberFormat="1" applyFont="1"/>
    <xf numFmtId="0" fontId="2" fillId="0" borderId="7" xfId="0" applyFont="1" applyBorder="1"/>
    <xf numFmtId="0" fontId="2" fillId="0" borderId="8" xfId="0" applyFont="1" applyBorder="1" applyAlignment="1">
      <alignment horizontal="left" wrapText="1"/>
    </xf>
    <xf numFmtId="3" fontId="2" fillId="0" borderId="8" xfId="0" applyNumberFormat="1" applyFont="1" applyBorder="1"/>
    <xf numFmtId="3" fontId="2" fillId="0" borderId="7" xfId="0" applyNumberFormat="1" applyFont="1" applyBorder="1"/>
    <xf numFmtId="3" fontId="2" fillId="0" borderId="5" xfId="0" applyNumberFormat="1" applyFont="1" applyBorder="1"/>
    <xf numFmtId="3" fontId="0" fillId="0" borderId="9" xfId="0" applyNumberFormat="1" applyBorder="1"/>
    <xf numFmtId="9" fontId="2" fillId="0" borderId="8" xfId="0" applyNumberFormat="1" applyFont="1" applyBorder="1" applyAlignment="1">
      <alignment horizontal="right" wrapText="1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Protection="1">
      <protection locked="0"/>
    </xf>
    <xf numFmtId="3" fontId="3" fillId="0" borderId="11" xfId="0" applyNumberFormat="1" applyFont="1" applyBorder="1"/>
    <xf numFmtId="3" fontId="6" fillId="0" borderId="11" xfId="0" applyNumberFormat="1" applyFont="1" applyBorder="1" applyProtection="1">
      <protection locked="0"/>
    </xf>
    <xf numFmtId="3" fontId="3" fillId="0" borderId="10" xfId="0" applyNumberFormat="1" applyFont="1" applyBorder="1"/>
    <xf numFmtId="3" fontId="7" fillId="0" borderId="11" xfId="0" applyNumberFormat="1" applyFont="1" applyBorder="1"/>
    <xf numFmtId="3" fontId="0" fillId="0" borderId="12" xfId="0" applyNumberFormat="1" applyBorder="1"/>
    <xf numFmtId="3" fontId="7" fillId="0" borderId="11" xfId="0" applyNumberFormat="1" applyFont="1" applyBorder="1" applyAlignment="1">
      <alignment wrapText="1"/>
    </xf>
    <xf numFmtId="3" fontId="7" fillId="0" borderId="10" xfId="0" applyNumberFormat="1" applyFont="1" applyBorder="1" applyAlignment="1">
      <alignment wrapText="1"/>
    </xf>
    <xf numFmtId="9" fontId="7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Protection="1">
      <protection locked="0"/>
    </xf>
    <xf numFmtId="0" fontId="6" fillId="0" borderId="10" xfId="0" quotePrefix="1" applyFont="1" applyBorder="1" applyAlignment="1" applyProtection="1">
      <alignment horizontal="left"/>
      <protection locked="0"/>
    </xf>
    <xf numFmtId="0" fontId="6" fillId="0" borderId="7" xfId="0" quotePrefix="1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3" fontId="7" fillId="0" borderId="6" xfId="0" applyNumberFormat="1" applyFont="1" applyBorder="1" applyAlignment="1">
      <alignment wrapText="1"/>
    </xf>
    <xf numFmtId="9" fontId="7" fillId="0" borderId="6" xfId="0" applyNumberFormat="1" applyFont="1" applyBorder="1" applyAlignment="1">
      <alignment horizontal="right" vertical="center" wrapText="1"/>
    </xf>
    <xf numFmtId="9" fontId="2" fillId="0" borderId="5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 applyProtection="1">
      <alignment horizontal="left"/>
      <protection locked="0"/>
    </xf>
    <xf numFmtId="3" fontId="8" fillId="0" borderId="12" xfId="0" applyNumberFormat="1" applyFont="1" applyBorder="1"/>
    <xf numFmtId="3" fontId="7" fillId="0" borderId="11" xfId="0" applyNumberFormat="1" applyFont="1" applyBorder="1" applyProtection="1">
      <protection locked="0"/>
    </xf>
    <xf numFmtId="3" fontId="8" fillId="0" borderId="0" xfId="0" applyNumberFormat="1" applyFont="1"/>
    <xf numFmtId="3" fontId="2" fillId="0" borderId="11" xfId="0" applyNumberFormat="1" applyFont="1" applyBorder="1" applyAlignment="1">
      <alignment vertical="center"/>
    </xf>
    <xf numFmtId="3" fontId="7" fillId="0" borderId="11" xfId="0" applyNumberFormat="1" applyFont="1" applyBorder="1" applyAlignment="1">
      <alignment vertical="center"/>
    </xf>
    <xf numFmtId="0" fontId="2" fillId="0" borderId="6" xfId="0" applyFont="1" applyBorder="1" applyAlignment="1" applyProtection="1">
      <alignment horizontal="right" vertical="center"/>
      <protection locked="0"/>
    </xf>
    <xf numFmtId="3" fontId="2" fillId="0" borderId="5" xfId="0" applyNumberFormat="1" applyFont="1" applyBorder="1" applyAlignment="1">
      <alignment vertical="center" wrapText="1"/>
    </xf>
    <xf numFmtId="3" fontId="3" fillId="0" borderId="6" xfId="0" applyNumberFormat="1" applyFont="1" applyBorder="1"/>
    <xf numFmtId="3" fontId="2" fillId="0" borderId="6" xfId="0" applyNumberFormat="1" applyFont="1" applyBorder="1" applyAlignment="1">
      <alignment vertical="center" wrapText="1"/>
    </xf>
    <xf numFmtId="9" fontId="2" fillId="0" borderId="13" xfId="0" applyNumberFormat="1" applyFont="1" applyBorder="1" applyAlignment="1">
      <alignment horizontal="right" vertical="center" wrapText="1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5" xfId="0" applyFont="1" applyBorder="1" applyProtection="1">
      <protection locked="0"/>
    </xf>
    <xf numFmtId="3" fontId="4" fillId="0" borderId="5" xfId="0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3" fontId="4" fillId="0" borderId="11" xfId="0" applyNumberFormat="1" applyFont="1" applyBorder="1" applyProtection="1">
      <protection locked="0"/>
    </xf>
    <xf numFmtId="3" fontId="2" fillId="0" borderId="11" xfId="0" applyNumberFormat="1" applyFont="1" applyBorder="1" applyProtection="1">
      <protection locked="0"/>
    </xf>
    <xf numFmtId="0" fontId="5" fillId="0" borderId="6" xfId="0" applyFont="1" applyBorder="1"/>
    <xf numFmtId="164" fontId="5" fillId="0" borderId="5" xfId="1" applyFont="1" applyFill="1" applyBorder="1"/>
    <xf numFmtId="3" fontId="5" fillId="0" borderId="5" xfId="1" applyNumberFormat="1" applyFont="1" applyFill="1" applyBorder="1"/>
    <xf numFmtId="3" fontId="5" fillId="0" borderId="6" xfId="0" applyNumberFormat="1" applyFont="1" applyBorder="1"/>
    <xf numFmtId="3" fontId="5" fillId="0" borderId="2" xfId="0" applyNumberFormat="1" applyFont="1" applyBorder="1"/>
    <xf numFmtId="3" fontId="5" fillId="0" borderId="5" xfId="0" applyNumberFormat="1" applyFont="1" applyBorder="1"/>
    <xf numFmtId="3" fontId="5" fillId="0" borderId="13" xfId="0" applyNumberFormat="1" applyFont="1" applyBorder="1"/>
    <xf numFmtId="3" fontId="2" fillId="0" borderId="5" xfId="0" applyNumberFormat="1" applyFont="1" applyBorder="1" applyAlignment="1">
      <alignment wrapText="1"/>
    </xf>
    <xf numFmtId="3" fontId="4" fillId="0" borderId="13" xfId="0" applyNumberFormat="1" applyFont="1" applyBorder="1" applyProtection="1">
      <protection locked="0"/>
    </xf>
    <xf numFmtId="3" fontId="0" fillId="0" borderId="14" xfId="0" applyNumberFormat="1" applyBorder="1"/>
    <xf numFmtId="3" fontId="2" fillId="0" borderId="10" xfId="0" applyNumberFormat="1" applyFont="1" applyBorder="1" applyAlignment="1">
      <alignment wrapText="1"/>
    </xf>
    <xf numFmtId="3" fontId="4" fillId="0" borderId="2" xfId="0" applyNumberFormat="1" applyFont="1" applyBorder="1" applyProtection="1">
      <protection locked="0"/>
    </xf>
    <xf numFmtId="3" fontId="4" fillId="0" borderId="15" xfId="0" applyNumberFormat="1" applyFont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2" fillId="0" borderId="16" xfId="0" applyNumberFormat="1" applyFont="1" applyBorder="1" applyProtection="1">
      <protection locked="0"/>
    </xf>
    <xf numFmtId="3" fontId="2" fillId="0" borderId="2" xfId="0" applyNumberFormat="1" applyFont="1" applyBorder="1" applyAlignment="1">
      <alignment wrapText="1"/>
    </xf>
    <xf numFmtId="9" fontId="2" fillId="0" borderId="11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Protection="1">
      <protection locked="0"/>
    </xf>
    <xf numFmtId="3" fontId="4" fillId="0" borderId="9" xfId="0" applyNumberFormat="1" applyFont="1" applyBorder="1" applyProtection="1">
      <protection locked="0"/>
    </xf>
    <xf numFmtId="3" fontId="4" fillId="0" borderId="6" xfId="0" applyNumberFormat="1" applyFont="1" applyBorder="1" applyProtection="1">
      <protection locked="0"/>
    </xf>
    <xf numFmtId="9" fontId="2" fillId="0" borderId="17" xfId="0" applyNumberFormat="1" applyFont="1" applyBorder="1" applyAlignment="1">
      <alignment horizontal="right" vertical="center" wrapText="1"/>
    </xf>
    <xf numFmtId="9" fontId="7" fillId="0" borderId="17" xfId="0" applyNumberFormat="1" applyFont="1" applyBorder="1" applyAlignment="1">
      <alignment horizontal="right" vertical="center" wrapText="1"/>
    </xf>
    <xf numFmtId="0" fontId="6" fillId="0" borderId="3" xfId="0" applyFont="1" applyBorder="1" applyProtection="1">
      <protection locked="0"/>
    </xf>
    <xf numFmtId="3" fontId="6" fillId="0" borderId="2" xfId="0" applyNumberFormat="1" applyFont="1" applyBorder="1" applyProtection="1">
      <protection locked="0"/>
    </xf>
    <xf numFmtId="3" fontId="6" fillId="0" borderId="15" xfId="0" applyNumberFormat="1" applyFont="1" applyBorder="1" applyProtection="1">
      <protection locked="0"/>
    </xf>
    <xf numFmtId="3" fontId="6" fillId="0" borderId="3" xfId="0" applyNumberFormat="1" applyFont="1" applyBorder="1" applyProtection="1">
      <protection locked="0"/>
    </xf>
    <xf numFmtId="3" fontId="7" fillId="0" borderId="2" xfId="0" applyNumberFormat="1" applyFont="1" applyBorder="1" applyAlignment="1">
      <alignment wrapText="1"/>
    </xf>
    <xf numFmtId="9" fontId="7" fillId="0" borderId="2" xfId="0" applyNumberFormat="1" applyFont="1" applyBorder="1" applyAlignment="1">
      <alignment horizontal="right" vertical="center" wrapText="1"/>
    </xf>
    <xf numFmtId="3" fontId="6" fillId="0" borderId="10" xfId="0" applyNumberFormat="1" applyFont="1" applyBorder="1" applyProtection="1">
      <protection locked="0"/>
    </xf>
    <xf numFmtId="3" fontId="6" fillId="0" borderId="18" xfId="0" applyNumberFormat="1" applyFont="1" applyBorder="1" applyProtection="1">
      <protection locked="0"/>
    </xf>
    <xf numFmtId="9" fontId="7" fillId="0" borderId="10" xfId="0" applyNumberFormat="1" applyFont="1" applyBorder="1" applyAlignment="1">
      <alignment horizontal="right" vertical="center" wrapText="1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8" xfId="0" applyFont="1" applyBorder="1" applyProtection="1">
      <protection locked="0"/>
    </xf>
    <xf numFmtId="3" fontId="6" fillId="0" borderId="7" xfId="0" applyNumberFormat="1" applyFont="1" applyBorder="1" applyProtection="1">
      <protection locked="0"/>
    </xf>
    <xf numFmtId="3" fontId="6" fillId="0" borderId="19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3" fontId="7" fillId="0" borderId="7" xfId="0" applyNumberFormat="1" applyFont="1" applyBorder="1" applyAlignment="1">
      <alignment wrapText="1"/>
    </xf>
    <xf numFmtId="3" fontId="3" fillId="0" borderId="0" xfId="0" applyNumberFormat="1" applyFont="1"/>
    <xf numFmtId="4" fontId="3" fillId="0" borderId="0" xfId="0" applyNumberFormat="1" applyFont="1"/>
    <xf numFmtId="3" fontId="7" fillId="0" borderId="0" xfId="0" applyNumberFormat="1" applyFont="1"/>
    <xf numFmtId="3" fontId="0" fillId="0" borderId="0" xfId="0" applyNumberFormat="1"/>
    <xf numFmtId="9" fontId="3" fillId="0" borderId="0" xfId="0" applyNumberFormat="1" applyFont="1"/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3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2">
    <cellStyle name="Millares 3" xfId="1" xr:uid="{0C107F28-C16B-49B7-8BD5-EF132EE01B1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18</xdr:col>
      <xdr:colOff>533400</xdr:colOff>
      <xdr:row>0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8B3334-91A5-4701-B062-D8C7FCE67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44</xdr:row>
      <xdr:rowOff>0</xdr:rowOff>
    </xdr:from>
    <xdr:to>
      <xdr:col>18</xdr:col>
      <xdr:colOff>533400</xdr:colOff>
      <xdr:row>44</xdr:row>
      <xdr:rowOff>28575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E851406C-47B6-4B71-B5EB-68516A624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927735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</xdr:row>
      <xdr:rowOff>0</xdr:rowOff>
    </xdr:from>
    <xdr:to>
      <xdr:col>18</xdr:col>
      <xdr:colOff>533400</xdr:colOff>
      <xdr:row>40</xdr:row>
      <xdr:rowOff>28575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EC13B1AA-5F50-4CDD-A08F-80AB36E00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847725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18</xdr:col>
      <xdr:colOff>533400</xdr:colOff>
      <xdr:row>42</xdr:row>
      <xdr:rowOff>28575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C89836AE-90C9-4617-B784-0157A1DA4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887730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71</xdr:row>
      <xdr:rowOff>0</xdr:rowOff>
    </xdr:from>
    <xdr:to>
      <xdr:col>18</xdr:col>
      <xdr:colOff>533400</xdr:colOff>
      <xdr:row>71</xdr:row>
      <xdr:rowOff>28575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CD6F21D0-FF72-4E03-BC98-9E9AF36B9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14678025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44</xdr:row>
      <xdr:rowOff>0</xdr:rowOff>
    </xdr:from>
    <xdr:to>
      <xdr:col>18</xdr:col>
      <xdr:colOff>533400</xdr:colOff>
      <xdr:row>44</xdr:row>
      <xdr:rowOff>28575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C10F9B1F-FE64-4099-8030-2552E497B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927735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</xdr:row>
      <xdr:rowOff>0</xdr:rowOff>
    </xdr:from>
    <xdr:to>
      <xdr:col>18</xdr:col>
      <xdr:colOff>533400</xdr:colOff>
      <xdr:row>40</xdr:row>
      <xdr:rowOff>28575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65778B7B-211B-4281-83B4-6B4CAC061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847725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18</xdr:col>
      <xdr:colOff>533400</xdr:colOff>
      <xdr:row>42</xdr:row>
      <xdr:rowOff>28575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7130CCDC-EE14-42BF-B359-B22C13612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887730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70</xdr:row>
      <xdr:rowOff>0</xdr:rowOff>
    </xdr:from>
    <xdr:to>
      <xdr:col>18</xdr:col>
      <xdr:colOff>533400</xdr:colOff>
      <xdr:row>70</xdr:row>
      <xdr:rowOff>28575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E8C25FFE-D830-4835-B060-B0BB9FD0D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1447800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44</xdr:row>
      <xdr:rowOff>0</xdr:rowOff>
    </xdr:from>
    <xdr:to>
      <xdr:col>18</xdr:col>
      <xdr:colOff>533400</xdr:colOff>
      <xdr:row>44</xdr:row>
      <xdr:rowOff>28575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2181953D-DBF6-41A7-AB70-06FE32788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927735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40</xdr:row>
      <xdr:rowOff>0</xdr:rowOff>
    </xdr:from>
    <xdr:to>
      <xdr:col>18</xdr:col>
      <xdr:colOff>533400</xdr:colOff>
      <xdr:row>40</xdr:row>
      <xdr:rowOff>28575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602C7E72-1E1F-440C-9A7C-341C2D4AF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847725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42</xdr:row>
      <xdr:rowOff>0</xdr:rowOff>
    </xdr:from>
    <xdr:to>
      <xdr:col>18</xdr:col>
      <xdr:colOff>533400</xdr:colOff>
      <xdr:row>42</xdr:row>
      <xdr:rowOff>28575</xdr:rowOff>
    </xdr:to>
    <xdr:pic>
      <xdr:nvPicPr>
        <xdr:cNvPr id="13" name="Picture 1">
          <a:extLst>
            <a:ext uri="{FF2B5EF4-FFF2-40B4-BE49-F238E27FC236}">
              <a16:creationId xmlns:a16="http://schemas.microsoft.com/office/drawing/2014/main" id="{13AC695F-D543-4480-BAF8-5B61693F0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887730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70</xdr:row>
      <xdr:rowOff>0</xdr:rowOff>
    </xdr:from>
    <xdr:to>
      <xdr:col>18</xdr:col>
      <xdr:colOff>533400</xdr:colOff>
      <xdr:row>70</xdr:row>
      <xdr:rowOff>28575</xdr:rowOff>
    </xdr:to>
    <xdr:pic>
      <xdr:nvPicPr>
        <xdr:cNvPr id="14" name="Picture 1">
          <a:extLst>
            <a:ext uri="{FF2B5EF4-FFF2-40B4-BE49-F238E27FC236}">
              <a16:creationId xmlns:a16="http://schemas.microsoft.com/office/drawing/2014/main" id="{FDC9C601-73F9-4D78-BD44-E4AA73CAC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87725" y="14478000"/>
          <a:ext cx="12954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A3610-D538-44F1-B146-C7A220EC035B}">
  <dimension ref="A1:IE115"/>
  <sheetViews>
    <sheetView tabSelected="1" workbookViewId="0">
      <selection sqref="A1:XFD1048576"/>
    </sheetView>
  </sheetViews>
  <sheetFormatPr baseColWidth="10" defaultColWidth="14.5" defaultRowHeight="12" x14ac:dyDescent="0.15"/>
  <cols>
    <col min="1" max="1" width="7.83203125" style="1" customWidth="1"/>
    <col min="2" max="2" width="41.6640625" style="1" customWidth="1"/>
    <col min="3" max="3" width="15.6640625" style="99" bestFit="1" customWidth="1"/>
    <col min="4" max="5" width="14.5" style="1"/>
    <col min="6" max="6" width="14.5" style="100"/>
    <col min="7" max="7" width="14.5" style="1"/>
    <col min="8" max="8" width="14.5" style="99"/>
    <col min="9" max="9" width="14.5" style="100"/>
    <col min="10" max="10" width="14.5" style="99"/>
    <col min="11" max="11" width="18" style="101" customWidth="1"/>
    <col min="12" max="13" width="18" style="101" hidden="1" customWidth="1"/>
    <col min="14" max="15" width="14.5" style="99"/>
    <col min="16" max="16" width="12.33203125" style="99" customWidth="1"/>
    <col min="17" max="18" width="14.5" style="99"/>
    <col min="19" max="19" width="14.5" style="103"/>
    <col min="20" max="256" width="14.5" style="1"/>
    <col min="257" max="257" width="7.83203125" style="1" customWidth="1"/>
    <col min="258" max="258" width="41.6640625" style="1" customWidth="1"/>
    <col min="259" max="259" width="15.6640625" style="1" bestFit="1" customWidth="1"/>
    <col min="260" max="266" width="14.5" style="1"/>
    <col min="267" max="267" width="18" style="1" customWidth="1"/>
    <col min="268" max="269" width="0" style="1" hidden="1" customWidth="1"/>
    <col min="270" max="271" width="14.5" style="1"/>
    <col min="272" max="272" width="12.33203125" style="1" customWidth="1"/>
    <col min="273" max="512" width="14.5" style="1"/>
    <col min="513" max="513" width="7.83203125" style="1" customWidth="1"/>
    <col min="514" max="514" width="41.6640625" style="1" customWidth="1"/>
    <col min="515" max="515" width="15.6640625" style="1" bestFit="1" customWidth="1"/>
    <col min="516" max="522" width="14.5" style="1"/>
    <col min="523" max="523" width="18" style="1" customWidth="1"/>
    <col min="524" max="525" width="0" style="1" hidden="1" customWidth="1"/>
    <col min="526" max="527" width="14.5" style="1"/>
    <col min="528" max="528" width="12.33203125" style="1" customWidth="1"/>
    <col min="529" max="768" width="14.5" style="1"/>
    <col min="769" max="769" width="7.83203125" style="1" customWidth="1"/>
    <col min="770" max="770" width="41.6640625" style="1" customWidth="1"/>
    <col min="771" max="771" width="15.6640625" style="1" bestFit="1" customWidth="1"/>
    <col min="772" max="778" width="14.5" style="1"/>
    <col min="779" max="779" width="18" style="1" customWidth="1"/>
    <col min="780" max="781" width="0" style="1" hidden="1" customWidth="1"/>
    <col min="782" max="783" width="14.5" style="1"/>
    <col min="784" max="784" width="12.33203125" style="1" customWidth="1"/>
    <col min="785" max="1024" width="14.5" style="1"/>
    <col min="1025" max="1025" width="7.83203125" style="1" customWidth="1"/>
    <col min="1026" max="1026" width="41.6640625" style="1" customWidth="1"/>
    <col min="1027" max="1027" width="15.6640625" style="1" bestFit="1" customWidth="1"/>
    <col min="1028" max="1034" width="14.5" style="1"/>
    <col min="1035" max="1035" width="18" style="1" customWidth="1"/>
    <col min="1036" max="1037" width="0" style="1" hidden="1" customWidth="1"/>
    <col min="1038" max="1039" width="14.5" style="1"/>
    <col min="1040" max="1040" width="12.33203125" style="1" customWidth="1"/>
    <col min="1041" max="1280" width="14.5" style="1"/>
    <col min="1281" max="1281" width="7.83203125" style="1" customWidth="1"/>
    <col min="1282" max="1282" width="41.6640625" style="1" customWidth="1"/>
    <col min="1283" max="1283" width="15.6640625" style="1" bestFit="1" customWidth="1"/>
    <col min="1284" max="1290" width="14.5" style="1"/>
    <col min="1291" max="1291" width="18" style="1" customWidth="1"/>
    <col min="1292" max="1293" width="0" style="1" hidden="1" customWidth="1"/>
    <col min="1294" max="1295" width="14.5" style="1"/>
    <col min="1296" max="1296" width="12.33203125" style="1" customWidth="1"/>
    <col min="1297" max="1536" width="14.5" style="1"/>
    <col min="1537" max="1537" width="7.83203125" style="1" customWidth="1"/>
    <col min="1538" max="1538" width="41.6640625" style="1" customWidth="1"/>
    <col min="1539" max="1539" width="15.6640625" style="1" bestFit="1" customWidth="1"/>
    <col min="1540" max="1546" width="14.5" style="1"/>
    <col min="1547" max="1547" width="18" style="1" customWidth="1"/>
    <col min="1548" max="1549" width="0" style="1" hidden="1" customWidth="1"/>
    <col min="1550" max="1551" width="14.5" style="1"/>
    <col min="1552" max="1552" width="12.33203125" style="1" customWidth="1"/>
    <col min="1553" max="1792" width="14.5" style="1"/>
    <col min="1793" max="1793" width="7.83203125" style="1" customWidth="1"/>
    <col min="1794" max="1794" width="41.6640625" style="1" customWidth="1"/>
    <col min="1795" max="1795" width="15.6640625" style="1" bestFit="1" customWidth="1"/>
    <col min="1796" max="1802" width="14.5" style="1"/>
    <col min="1803" max="1803" width="18" style="1" customWidth="1"/>
    <col min="1804" max="1805" width="0" style="1" hidden="1" customWidth="1"/>
    <col min="1806" max="1807" width="14.5" style="1"/>
    <col min="1808" max="1808" width="12.33203125" style="1" customWidth="1"/>
    <col min="1809" max="2048" width="14.5" style="1"/>
    <col min="2049" max="2049" width="7.83203125" style="1" customWidth="1"/>
    <col min="2050" max="2050" width="41.6640625" style="1" customWidth="1"/>
    <col min="2051" max="2051" width="15.6640625" style="1" bestFit="1" customWidth="1"/>
    <col min="2052" max="2058" width="14.5" style="1"/>
    <col min="2059" max="2059" width="18" style="1" customWidth="1"/>
    <col min="2060" max="2061" width="0" style="1" hidden="1" customWidth="1"/>
    <col min="2062" max="2063" width="14.5" style="1"/>
    <col min="2064" max="2064" width="12.33203125" style="1" customWidth="1"/>
    <col min="2065" max="2304" width="14.5" style="1"/>
    <col min="2305" max="2305" width="7.83203125" style="1" customWidth="1"/>
    <col min="2306" max="2306" width="41.6640625" style="1" customWidth="1"/>
    <col min="2307" max="2307" width="15.6640625" style="1" bestFit="1" customWidth="1"/>
    <col min="2308" max="2314" width="14.5" style="1"/>
    <col min="2315" max="2315" width="18" style="1" customWidth="1"/>
    <col min="2316" max="2317" width="0" style="1" hidden="1" customWidth="1"/>
    <col min="2318" max="2319" width="14.5" style="1"/>
    <col min="2320" max="2320" width="12.33203125" style="1" customWidth="1"/>
    <col min="2321" max="2560" width="14.5" style="1"/>
    <col min="2561" max="2561" width="7.83203125" style="1" customWidth="1"/>
    <col min="2562" max="2562" width="41.6640625" style="1" customWidth="1"/>
    <col min="2563" max="2563" width="15.6640625" style="1" bestFit="1" customWidth="1"/>
    <col min="2564" max="2570" width="14.5" style="1"/>
    <col min="2571" max="2571" width="18" style="1" customWidth="1"/>
    <col min="2572" max="2573" width="0" style="1" hidden="1" customWidth="1"/>
    <col min="2574" max="2575" width="14.5" style="1"/>
    <col min="2576" max="2576" width="12.33203125" style="1" customWidth="1"/>
    <col min="2577" max="2816" width="14.5" style="1"/>
    <col min="2817" max="2817" width="7.83203125" style="1" customWidth="1"/>
    <col min="2818" max="2818" width="41.6640625" style="1" customWidth="1"/>
    <col min="2819" max="2819" width="15.6640625" style="1" bestFit="1" customWidth="1"/>
    <col min="2820" max="2826" width="14.5" style="1"/>
    <col min="2827" max="2827" width="18" style="1" customWidth="1"/>
    <col min="2828" max="2829" width="0" style="1" hidden="1" customWidth="1"/>
    <col min="2830" max="2831" width="14.5" style="1"/>
    <col min="2832" max="2832" width="12.33203125" style="1" customWidth="1"/>
    <col min="2833" max="3072" width="14.5" style="1"/>
    <col min="3073" max="3073" width="7.83203125" style="1" customWidth="1"/>
    <col min="3074" max="3074" width="41.6640625" style="1" customWidth="1"/>
    <col min="3075" max="3075" width="15.6640625" style="1" bestFit="1" customWidth="1"/>
    <col min="3076" max="3082" width="14.5" style="1"/>
    <col min="3083" max="3083" width="18" style="1" customWidth="1"/>
    <col min="3084" max="3085" width="0" style="1" hidden="1" customWidth="1"/>
    <col min="3086" max="3087" width="14.5" style="1"/>
    <col min="3088" max="3088" width="12.33203125" style="1" customWidth="1"/>
    <col min="3089" max="3328" width="14.5" style="1"/>
    <col min="3329" max="3329" width="7.83203125" style="1" customWidth="1"/>
    <col min="3330" max="3330" width="41.6640625" style="1" customWidth="1"/>
    <col min="3331" max="3331" width="15.6640625" style="1" bestFit="1" customWidth="1"/>
    <col min="3332" max="3338" width="14.5" style="1"/>
    <col min="3339" max="3339" width="18" style="1" customWidth="1"/>
    <col min="3340" max="3341" width="0" style="1" hidden="1" customWidth="1"/>
    <col min="3342" max="3343" width="14.5" style="1"/>
    <col min="3344" max="3344" width="12.33203125" style="1" customWidth="1"/>
    <col min="3345" max="3584" width="14.5" style="1"/>
    <col min="3585" max="3585" width="7.83203125" style="1" customWidth="1"/>
    <col min="3586" max="3586" width="41.6640625" style="1" customWidth="1"/>
    <col min="3587" max="3587" width="15.6640625" style="1" bestFit="1" customWidth="1"/>
    <col min="3588" max="3594" width="14.5" style="1"/>
    <col min="3595" max="3595" width="18" style="1" customWidth="1"/>
    <col min="3596" max="3597" width="0" style="1" hidden="1" customWidth="1"/>
    <col min="3598" max="3599" width="14.5" style="1"/>
    <col min="3600" max="3600" width="12.33203125" style="1" customWidth="1"/>
    <col min="3601" max="3840" width="14.5" style="1"/>
    <col min="3841" max="3841" width="7.83203125" style="1" customWidth="1"/>
    <col min="3842" max="3842" width="41.6640625" style="1" customWidth="1"/>
    <col min="3843" max="3843" width="15.6640625" style="1" bestFit="1" customWidth="1"/>
    <col min="3844" max="3850" width="14.5" style="1"/>
    <col min="3851" max="3851" width="18" style="1" customWidth="1"/>
    <col min="3852" max="3853" width="0" style="1" hidden="1" customWidth="1"/>
    <col min="3854" max="3855" width="14.5" style="1"/>
    <col min="3856" max="3856" width="12.33203125" style="1" customWidth="1"/>
    <col min="3857" max="4096" width="14.5" style="1"/>
    <col min="4097" max="4097" width="7.83203125" style="1" customWidth="1"/>
    <col min="4098" max="4098" width="41.6640625" style="1" customWidth="1"/>
    <col min="4099" max="4099" width="15.6640625" style="1" bestFit="1" customWidth="1"/>
    <col min="4100" max="4106" width="14.5" style="1"/>
    <col min="4107" max="4107" width="18" style="1" customWidth="1"/>
    <col min="4108" max="4109" width="0" style="1" hidden="1" customWidth="1"/>
    <col min="4110" max="4111" width="14.5" style="1"/>
    <col min="4112" max="4112" width="12.33203125" style="1" customWidth="1"/>
    <col min="4113" max="4352" width="14.5" style="1"/>
    <col min="4353" max="4353" width="7.83203125" style="1" customWidth="1"/>
    <col min="4354" max="4354" width="41.6640625" style="1" customWidth="1"/>
    <col min="4355" max="4355" width="15.6640625" style="1" bestFit="1" customWidth="1"/>
    <col min="4356" max="4362" width="14.5" style="1"/>
    <col min="4363" max="4363" width="18" style="1" customWidth="1"/>
    <col min="4364" max="4365" width="0" style="1" hidden="1" customWidth="1"/>
    <col min="4366" max="4367" width="14.5" style="1"/>
    <col min="4368" max="4368" width="12.33203125" style="1" customWidth="1"/>
    <col min="4369" max="4608" width="14.5" style="1"/>
    <col min="4609" max="4609" width="7.83203125" style="1" customWidth="1"/>
    <col min="4610" max="4610" width="41.6640625" style="1" customWidth="1"/>
    <col min="4611" max="4611" width="15.6640625" style="1" bestFit="1" customWidth="1"/>
    <col min="4612" max="4618" width="14.5" style="1"/>
    <col min="4619" max="4619" width="18" style="1" customWidth="1"/>
    <col min="4620" max="4621" width="0" style="1" hidden="1" customWidth="1"/>
    <col min="4622" max="4623" width="14.5" style="1"/>
    <col min="4624" max="4624" width="12.33203125" style="1" customWidth="1"/>
    <col min="4625" max="4864" width="14.5" style="1"/>
    <col min="4865" max="4865" width="7.83203125" style="1" customWidth="1"/>
    <col min="4866" max="4866" width="41.6640625" style="1" customWidth="1"/>
    <col min="4867" max="4867" width="15.6640625" style="1" bestFit="1" customWidth="1"/>
    <col min="4868" max="4874" width="14.5" style="1"/>
    <col min="4875" max="4875" width="18" style="1" customWidth="1"/>
    <col min="4876" max="4877" width="0" style="1" hidden="1" customWidth="1"/>
    <col min="4878" max="4879" width="14.5" style="1"/>
    <col min="4880" max="4880" width="12.33203125" style="1" customWidth="1"/>
    <col min="4881" max="5120" width="14.5" style="1"/>
    <col min="5121" max="5121" width="7.83203125" style="1" customWidth="1"/>
    <col min="5122" max="5122" width="41.6640625" style="1" customWidth="1"/>
    <col min="5123" max="5123" width="15.6640625" style="1" bestFit="1" customWidth="1"/>
    <col min="5124" max="5130" width="14.5" style="1"/>
    <col min="5131" max="5131" width="18" style="1" customWidth="1"/>
    <col min="5132" max="5133" width="0" style="1" hidden="1" customWidth="1"/>
    <col min="5134" max="5135" width="14.5" style="1"/>
    <col min="5136" max="5136" width="12.33203125" style="1" customWidth="1"/>
    <col min="5137" max="5376" width="14.5" style="1"/>
    <col min="5377" max="5377" width="7.83203125" style="1" customWidth="1"/>
    <col min="5378" max="5378" width="41.6640625" style="1" customWidth="1"/>
    <col min="5379" max="5379" width="15.6640625" style="1" bestFit="1" customWidth="1"/>
    <col min="5380" max="5386" width="14.5" style="1"/>
    <col min="5387" max="5387" width="18" style="1" customWidth="1"/>
    <col min="5388" max="5389" width="0" style="1" hidden="1" customWidth="1"/>
    <col min="5390" max="5391" width="14.5" style="1"/>
    <col min="5392" max="5392" width="12.33203125" style="1" customWidth="1"/>
    <col min="5393" max="5632" width="14.5" style="1"/>
    <col min="5633" max="5633" width="7.83203125" style="1" customWidth="1"/>
    <col min="5634" max="5634" width="41.6640625" style="1" customWidth="1"/>
    <col min="5635" max="5635" width="15.6640625" style="1" bestFit="1" customWidth="1"/>
    <col min="5636" max="5642" width="14.5" style="1"/>
    <col min="5643" max="5643" width="18" style="1" customWidth="1"/>
    <col min="5644" max="5645" width="0" style="1" hidden="1" customWidth="1"/>
    <col min="5646" max="5647" width="14.5" style="1"/>
    <col min="5648" max="5648" width="12.33203125" style="1" customWidth="1"/>
    <col min="5649" max="5888" width="14.5" style="1"/>
    <col min="5889" max="5889" width="7.83203125" style="1" customWidth="1"/>
    <col min="5890" max="5890" width="41.6640625" style="1" customWidth="1"/>
    <col min="5891" max="5891" width="15.6640625" style="1" bestFit="1" customWidth="1"/>
    <col min="5892" max="5898" width="14.5" style="1"/>
    <col min="5899" max="5899" width="18" style="1" customWidth="1"/>
    <col min="5900" max="5901" width="0" style="1" hidden="1" customWidth="1"/>
    <col min="5902" max="5903" width="14.5" style="1"/>
    <col min="5904" max="5904" width="12.33203125" style="1" customWidth="1"/>
    <col min="5905" max="6144" width="14.5" style="1"/>
    <col min="6145" max="6145" width="7.83203125" style="1" customWidth="1"/>
    <col min="6146" max="6146" width="41.6640625" style="1" customWidth="1"/>
    <col min="6147" max="6147" width="15.6640625" style="1" bestFit="1" customWidth="1"/>
    <col min="6148" max="6154" width="14.5" style="1"/>
    <col min="6155" max="6155" width="18" style="1" customWidth="1"/>
    <col min="6156" max="6157" width="0" style="1" hidden="1" customWidth="1"/>
    <col min="6158" max="6159" width="14.5" style="1"/>
    <col min="6160" max="6160" width="12.33203125" style="1" customWidth="1"/>
    <col min="6161" max="6400" width="14.5" style="1"/>
    <col min="6401" max="6401" width="7.83203125" style="1" customWidth="1"/>
    <col min="6402" max="6402" width="41.6640625" style="1" customWidth="1"/>
    <col min="6403" max="6403" width="15.6640625" style="1" bestFit="1" customWidth="1"/>
    <col min="6404" max="6410" width="14.5" style="1"/>
    <col min="6411" max="6411" width="18" style="1" customWidth="1"/>
    <col min="6412" max="6413" width="0" style="1" hidden="1" customWidth="1"/>
    <col min="6414" max="6415" width="14.5" style="1"/>
    <col min="6416" max="6416" width="12.33203125" style="1" customWidth="1"/>
    <col min="6417" max="6656" width="14.5" style="1"/>
    <col min="6657" max="6657" width="7.83203125" style="1" customWidth="1"/>
    <col min="6658" max="6658" width="41.6640625" style="1" customWidth="1"/>
    <col min="6659" max="6659" width="15.6640625" style="1" bestFit="1" customWidth="1"/>
    <col min="6660" max="6666" width="14.5" style="1"/>
    <col min="6667" max="6667" width="18" style="1" customWidth="1"/>
    <col min="6668" max="6669" width="0" style="1" hidden="1" customWidth="1"/>
    <col min="6670" max="6671" width="14.5" style="1"/>
    <col min="6672" max="6672" width="12.33203125" style="1" customWidth="1"/>
    <col min="6673" max="6912" width="14.5" style="1"/>
    <col min="6913" max="6913" width="7.83203125" style="1" customWidth="1"/>
    <col min="6914" max="6914" width="41.6640625" style="1" customWidth="1"/>
    <col min="6915" max="6915" width="15.6640625" style="1" bestFit="1" customWidth="1"/>
    <col min="6916" max="6922" width="14.5" style="1"/>
    <col min="6923" max="6923" width="18" style="1" customWidth="1"/>
    <col min="6924" max="6925" width="0" style="1" hidden="1" customWidth="1"/>
    <col min="6926" max="6927" width="14.5" style="1"/>
    <col min="6928" max="6928" width="12.33203125" style="1" customWidth="1"/>
    <col min="6929" max="7168" width="14.5" style="1"/>
    <col min="7169" max="7169" width="7.83203125" style="1" customWidth="1"/>
    <col min="7170" max="7170" width="41.6640625" style="1" customWidth="1"/>
    <col min="7171" max="7171" width="15.6640625" style="1" bestFit="1" customWidth="1"/>
    <col min="7172" max="7178" width="14.5" style="1"/>
    <col min="7179" max="7179" width="18" style="1" customWidth="1"/>
    <col min="7180" max="7181" width="0" style="1" hidden="1" customWidth="1"/>
    <col min="7182" max="7183" width="14.5" style="1"/>
    <col min="7184" max="7184" width="12.33203125" style="1" customWidth="1"/>
    <col min="7185" max="7424" width="14.5" style="1"/>
    <col min="7425" max="7425" width="7.83203125" style="1" customWidth="1"/>
    <col min="7426" max="7426" width="41.6640625" style="1" customWidth="1"/>
    <col min="7427" max="7427" width="15.6640625" style="1" bestFit="1" customWidth="1"/>
    <col min="7428" max="7434" width="14.5" style="1"/>
    <col min="7435" max="7435" width="18" style="1" customWidth="1"/>
    <col min="7436" max="7437" width="0" style="1" hidden="1" customWidth="1"/>
    <col min="7438" max="7439" width="14.5" style="1"/>
    <col min="7440" max="7440" width="12.33203125" style="1" customWidth="1"/>
    <col min="7441" max="7680" width="14.5" style="1"/>
    <col min="7681" max="7681" width="7.83203125" style="1" customWidth="1"/>
    <col min="7682" max="7682" width="41.6640625" style="1" customWidth="1"/>
    <col min="7683" max="7683" width="15.6640625" style="1" bestFit="1" customWidth="1"/>
    <col min="7684" max="7690" width="14.5" style="1"/>
    <col min="7691" max="7691" width="18" style="1" customWidth="1"/>
    <col min="7692" max="7693" width="0" style="1" hidden="1" customWidth="1"/>
    <col min="7694" max="7695" width="14.5" style="1"/>
    <col min="7696" max="7696" width="12.33203125" style="1" customWidth="1"/>
    <col min="7697" max="7936" width="14.5" style="1"/>
    <col min="7937" max="7937" width="7.83203125" style="1" customWidth="1"/>
    <col min="7938" max="7938" width="41.6640625" style="1" customWidth="1"/>
    <col min="7939" max="7939" width="15.6640625" style="1" bestFit="1" customWidth="1"/>
    <col min="7940" max="7946" width="14.5" style="1"/>
    <col min="7947" max="7947" width="18" style="1" customWidth="1"/>
    <col min="7948" max="7949" width="0" style="1" hidden="1" customWidth="1"/>
    <col min="7950" max="7951" width="14.5" style="1"/>
    <col min="7952" max="7952" width="12.33203125" style="1" customWidth="1"/>
    <col min="7953" max="8192" width="14.5" style="1"/>
    <col min="8193" max="8193" width="7.83203125" style="1" customWidth="1"/>
    <col min="8194" max="8194" width="41.6640625" style="1" customWidth="1"/>
    <col min="8195" max="8195" width="15.6640625" style="1" bestFit="1" customWidth="1"/>
    <col min="8196" max="8202" width="14.5" style="1"/>
    <col min="8203" max="8203" width="18" style="1" customWidth="1"/>
    <col min="8204" max="8205" width="0" style="1" hidden="1" customWidth="1"/>
    <col min="8206" max="8207" width="14.5" style="1"/>
    <col min="8208" max="8208" width="12.33203125" style="1" customWidth="1"/>
    <col min="8209" max="8448" width="14.5" style="1"/>
    <col min="8449" max="8449" width="7.83203125" style="1" customWidth="1"/>
    <col min="8450" max="8450" width="41.6640625" style="1" customWidth="1"/>
    <col min="8451" max="8451" width="15.6640625" style="1" bestFit="1" customWidth="1"/>
    <col min="8452" max="8458" width="14.5" style="1"/>
    <col min="8459" max="8459" width="18" style="1" customWidth="1"/>
    <col min="8460" max="8461" width="0" style="1" hidden="1" customWidth="1"/>
    <col min="8462" max="8463" width="14.5" style="1"/>
    <col min="8464" max="8464" width="12.33203125" style="1" customWidth="1"/>
    <col min="8465" max="8704" width="14.5" style="1"/>
    <col min="8705" max="8705" width="7.83203125" style="1" customWidth="1"/>
    <col min="8706" max="8706" width="41.6640625" style="1" customWidth="1"/>
    <col min="8707" max="8707" width="15.6640625" style="1" bestFit="1" customWidth="1"/>
    <col min="8708" max="8714" width="14.5" style="1"/>
    <col min="8715" max="8715" width="18" style="1" customWidth="1"/>
    <col min="8716" max="8717" width="0" style="1" hidden="1" customWidth="1"/>
    <col min="8718" max="8719" width="14.5" style="1"/>
    <col min="8720" max="8720" width="12.33203125" style="1" customWidth="1"/>
    <col min="8721" max="8960" width="14.5" style="1"/>
    <col min="8961" max="8961" width="7.83203125" style="1" customWidth="1"/>
    <col min="8962" max="8962" width="41.6640625" style="1" customWidth="1"/>
    <col min="8963" max="8963" width="15.6640625" style="1" bestFit="1" customWidth="1"/>
    <col min="8964" max="8970" width="14.5" style="1"/>
    <col min="8971" max="8971" width="18" style="1" customWidth="1"/>
    <col min="8972" max="8973" width="0" style="1" hidden="1" customWidth="1"/>
    <col min="8974" max="8975" width="14.5" style="1"/>
    <col min="8976" max="8976" width="12.33203125" style="1" customWidth="1"/>
    <col min="8977" max="9216" width="14.5" style="1"/>
    <col min="9217" max="9217" width="7.83203125" style="1" customWidth="1"/>
    <col min="9218" max="9218" width="41.6640625" style="1" customWidth="1"/>
    <col min="9219" max="9219" width="15.6640625" style="1" bestFit="1" customWidth="1"/>
    <col min="9220" max="9226" width="14.5" style="1"/>
    <col min="9227" max="9227" width="18" style="1" customWidth="1"/>
    <col min="9228" max="9229" width="0" style="1" hidden="1" customWidth="1"/>
    <col min="9230" max="9231" width="14.5" style="1"/>
    <col min="9232" max="9232" width="12.33203125" style="1" customWidth="1"/>
    <col min="9233" max="9472" width="14.5" style="1"/>
    <col min="9473" max="9473" width="7.83203125" style="1" customWidth="1"/>
    <col min="9474" max="9474" width="41.6640625" style="1" customWidth="1"/>
    <col min="9475" max="9475" width="15.6640625" style="1" bestFit="1" customWidth="1"/>
    <col min="9476" max="9482" width="14.5" style="1"/>
    <col min="9483" max="9483" width="18" style="1" customWidth="1"/>
    <col min="9484" max="9485" width="0" style="1" hidden="1" customWidth="1"/>
    <col min="9486" max="9487" width="14.5" style="1"/>
    <col min="9488" max="9488" width="12.33203125" style="1" customWidth="1"/>
    <col min="9489" max="9728" width="14.5" style="1"/>
    <col min="9729" max="9729" width="7.83203125" style="1" customWidth="1"/>
    <col min="9730" max="9730" width="41.6640625" style="1" customWidth="1"/>
    <col min="9731" max="9731" width="15.6640625" style="1" bestFit="1" customWidth="1"/>
    <col min="9732" max="9738" width="14.5" style="1"/>
    <col min="9739" max="9739" width="18" style="1" customWidth="1"/>
    <col min="9740" max="9741" width="0" style="1" hidden="1" customWidth="1"/>
    <col min="9742" max="9743" width="14.5" style="1"/>
    <col min="9744" max="9744" width="12.33203125" style="1" customWidth="1"/>
    <col min="9745" max="9984" width="14.5" style="1"/>
    <col min="9985" max="9985" width="7.83203125" style="1" customWidth="1"/>
    <col min="9986" max="9986" width="41.6640625" style="1" customWidth="1"/>
    <col min="9987" max="9987" width="15.6640625" style="1" bestFit="1" customWidth="1"/>
    <col min="9988" max="9994" width="14.5" style="1"/>
    <col min="9995" max="9995" width="18" style="1" customWidth="1"/>
    <col min="9996" max="9997" width="0" style="1" hidden="1" customWidth="1"/>
    <col min="9998" max="9999" width="14.5" style="1"/>
    <col min="10000" max="10000" width="12.33203125" style="1" customWidth="1"/>
    <col min="10001" max="10240" width="14.5" style="1"/>
    <col min="10241" max="10241" width="7.83203125" style="1" customWidth="1"/>
    <col min="10242" max="10242" width="41.6640625" style="1" customWidth="1"/>
    <col min="10243" max="10243" width="15.6640625" style="1" bestFit="1" customWidth="1"/>
    <col min="10244" max="10250" width="14.5" style="1"/>
    <col min="10251" max="10251" width="18" style="1" customWidth="1"/>
    <col min="10252" max="10253" width="0" style="1" hidden="1" customWidth="1"/>
    <col min="10254" max="10255" width="14.5" style="1"/>
    <col min="10256" max="10256" width="12.33203125" style="1" customWidth="1"/>
    <col min="10257" max="10496" width="14.5" style="1"/>
    <col min="10497" max="10497" width="7.83203125" style="1" customWidth="1"/>
    <col min="10498" max="10498" width="41.6640625" style="1" customWidth="1"/>
    <col min="10499" max="10499" width="15.6640625" style="1" bestFit="1" customWidth="1"/>
    <col min="10500" max="10506" width="14.5" style="1"/>
    <col min="10507" max="10507" width="18" style="1" customWidth="1"/>
    <col min="10508" max="10509" width="0" style="1" hidden="1" customWidth="1"/>
    <col min="10510" max="10511" width="14.5" style="1"/>
    <col min="10512" max="10512" width="12.33203125" style="1" customWidth="1"/>
    <col min="10513" max="10752" width="14.5" style="1"/>
    <col min="10753" max="10753" width="7.83203125" style="1" customWidth="1"/>
    <col min="10754" max="10754" width="41.6640625" style="1" customWidth="1"/>
    <col min="10755" max="10755" width="15.6640625" style="1" bestFit="1" customWidth="1"/>
    <col min="10756" max="10762" width="14.5" style="1"/>
    <col min="10763" max="10763" width="18" style="1" customWidth="1"/>
    <col min="10764" max="10765" width="0" style="1" hidden="1" customWidth="1"/>
    <col min="10766" max="10767" width="14.5" style="1"/>
    <col min="10768" max="10768" width="12.33203125" style="1" customWidth="1"/>
    <col min="10769" max="11008" width="14.5" style="1"/>
    <col min="11009" max="11009" width="7.83203125" style="1" customWidth="1"/>
    <col min="11010" max="11010" width="41.6640625" style="1" customWidth="1"/>
    <col min="11011" max="11011" width="15.6640625" style="1" bestFit="1" customWidth="1"/>
    <col min="11012" max="11018" width="14.5" style="1"/>
    <col min="11019" max="11019" width="18" style="1" customWidth="1"/>
    <col min="11020" max="11021" width="0" style="1" hidden="1" customWidth="1"/>
    <col min="11022" max="11023" width="14.5" style="1"/>
    <col min="11024" max="11024" width="12.33203125" style="1" customWidth="1"/>
    <col min="11025" max="11264" width="14.5" style="1"/>
    <col min="11265" max="11265" width="7.83203125" style="1" customWidth="1"/>
    <col min="11266" max="11266" width="41.6640625" style="1" customWidth="1"/>
    <col min="11267" max="11267" width="15.6640625" style="1" bestFit="1" customWidth="1"/>
    <col min="11268" max="11274" width="14.5" style="1"/>
    <col min="11275" max="11275" width="18" style="1" customWidth="1"/>
    <col min="11276" max="11277" width="0" style="1" hidden="1" customWidth="1"/>
    <col min="11278" max="11279" width="14.5" style="1"/>
    <col min="11280" max="11280" width="12.33203125" style="1" customWidth="1"/>
    <col min="11281" max="11520" width="14.5" style="1"/>
    <col min="11521" max="11521" width="7.83203125" style="1" customWidth="1"/>
    <col min="11522" max="11522" width="41.6640625" style="1" customWidth="1"/>
    <col min="11523" max="11523" width="15.6640625" style="1" bestFit="1" customWidth="1"/>
    <col min="11524" max="11530" width="14.5" style="1"/>
    <col min="11531" max="11531" width="18" style="1" customWidth="1"/>
    <col min="11532" max="11533" width="0" style="1" hidden="1" customWidth="1"/>
    <col min="11534" max="11535" width="14.5" style="1"/>
    <col min="11536" max="11536" width="12.33203125" style="1" customWidth="1"/>
    <col min="11537" max="11776" width="14.5" style="1"/>
    <col min="11777" max="11777" width="7.83203125" style="1" customWidth="1"/>
    <col min="11778" max="11778" width="41.6640625" style="1" customWidth="1"/>
    <col min="11779" max="11779" width="15.6640625" style="1" bestFit="1" customWidth="1"/>
    <col min="11780" max="11786" width="14.5" style="1"/>
    <col min="11787" max="11787" width="18" style="1" customWidth="1"/>
    <col min="11788" max="11789" width="0" style="1" hidden="1" customWidth="1"/>
    <col min="11790" max="11791" width="14.5" style="1"/>
    <col min="11792" max="11792" width="12.33203125" style="1" customWidth="1"/>
    <col min="11793" max="12032" width="14.5" style="1"/>
    <col min="12033" max="12033" width="7.83203125" style="1" customWidth="1"/>
    <col min="12034" max="12034" width="41.6640625" style="1" customWidth="1"/>
    <col min="12035" max="12035" width="15.6640625" style="1" bestFit="1" customWidth="1"/>
    <col min="12036" max="12042" width="14.5" style="1"/>
    <col min="12043" max="12043" width="18" style="1" customWidth="1"/>
    <col min="12044" max="12045" width="0" style="1" hidden="1" customWidth="1"/>
    <col min="12046" max="12047" width="14.5" style="1"/>
    <col min="12048" max="12048" width="12.33203125" style="1" customWidth="1"/>
    <col min="12049" max="12288" width="14.5" style="1"/>
    <col min="12289" max="12289" width="7.83203125" style="1" customWidth="1"/>
    <col min="12290" max="12290" width="41.6640625" style="1" customWidth="1"/>
    <col min="12291" max="12291" width="15.6640625" style="1" bestFit="1" customWidth="1"/>
    <col min="12292" max="12298" width="14.5" style="1"/>
    <col min="12299" max="12299" width="18" style="1" customWidth="1"/>
    <col min="12300" max="12301" width="0" style="1" hidden="1" customWidth="1"/>
    <col min="12302" max="12303" width="14.5" style="1"/>
    <col min="12304" max="12304" width="12.33203125" style="1" customWidth="1"/>
    <col min="12305" max="12544" width="14.5" style="1"/>
    <col min="12545" max="12545" width="7.83203125" style="1" customWidth="1"/>
    <col min="12546" max="12546" width="41.6640625" style="1" customWidth="1"/>
    <col min="12547" max="12547" width="15.6640625" style="1" bestFit="1" customWidth="1"/>
    <col min="12548" max="12554" width="14.5" style="1"/>
    <col min="12555" max="12555" width="18" style="1" customWidth="1"/>
    <col min="12556" max="12557" width="0" style="1" hidden="1" customWidth="1"/>
    <col min="12558" max="12559" width="14.5" style="1"/>
    <col min="12560" max="12560" width="12.33203125" style="1" customWidth="1"/>
    <col min="12561" max="12800" width="14.5" style="1"/>
    <col min="12801" max="12801" width="7.83203125" style="1" customWidth="1"/>
    <col min="12802" max="12802" width="41.6640625" style="1" customWidth="1"/>
    <col min="12803" max="12803" width="15.6640625" style="1" bestFit="1" customWidth="1"/>
    <col min="12804" max="12810" width="14.5" style="1"/>
    <col min="12811" max="12811" width="18" style="1" customWidth="1"/>
    <col min="12812" max="12813" width="0" style="1" hidden="1" customWidth="1"/>
    <col min="12814" max="12815" width="14.5" style="1"/>
    <col min="12816" max="12816" width="12.33203125" style="1" customWidth="1"/>
    <col min="12817" max="13056" width="14.5" style="1"/>
    <col min="13057" max="13057" width="7.83203125" style="1" customWidth="1"/>
    <col min="13058" max="13058" width="41.6640625" style="1" customWidth="1"/>
    <col min="13059" max="13059" width="15.6640625" style="1" bestFit="1" customWidth="1"/>
    <col min="13060" max="13066" width="14.5" style="1"/>
    <col min="13067" max="13067" width="18" style="1" customWidth="1"/>
    <col min="13068" max="13069" width="0" style="1" hidden="1" customWidth="1"/>
    <col min="13070" max="13071" width="14.5" style="1"/>
    <col min="13072" max="13072" width="12.33203125" style="1" customWidth="1"/>
    <col min="13073" max="13312" width="14.5" style="1"/>
    <col min="13313" max="13313" width="7.83203125" style="1" customWidth="1"/>
    <col min="13314" max="13314" width="41.6640625" style="1" customWidth="1"/>
    <col min="13315" max="13315" width="15.6640625" style="1" bestFit="1" customWidth="1"/>
    <col min="13316" max="13322" width="14.5" style="1"/>
    <col min="13323" max="13323" width="18" style="1" customWidth="1"/>
    <col min="13324" max="13325" width="0" style="1" hidden="1" customWidth="1"/>
    <col min="13326" max="13327" width="14.5" style="1"/>
    <col min="13328" max="13328" width="12.33203125" style="1" customWidth="1"/>
    <col min="13329" max="13568" width="14.5" style="1"/>
    <col min="13569" max="13569" width="7.83203125" style="1" customWidth="1"/>
    <col min="13570" max="13570" width="41.6640625" style="1" customWidth="1"/>
    <col min="13571" max="13571" width="15.6640625" style="1" bestFit="1" customWidth="1"/>
    <col min="13572" max="13578" width="14.5" style="1"/>
    <col min="13579" max="13579" width="18" style="1" customWidth="1"/>
    <col min="13580" max="13581" width="0" style="1" hidden="1" customWidth="1"/>
    <col min="13582" max="13583" width="14.5" style="1"/>
    <col min="13584" max="13584" width="12.33203125" style="1" customWidth="1"/>
    <col min="13585" max="13824" width="14.5" style="1"/>
    <col min="13825" max="13825" width="7.83203125" style="1" customWidth="1"/>
    <col min="13826" max="13826" width="41.6640625" style="1" customWidth="1"/>
    <col min="13827" max="13827" width="15.6640625" style="1" bestFit="1" customWidth="1"/>
    <col min="13828" max="13834" width="14.5" style="1"/>
    <col min="13835" max="13835" width="18" style="1" customWidth="1"/>
    <col min="13836" max="13837" width="0" style="1" hidden="1" customWidth="1"/>
    <col min="13838" max="13839" width="14.5" style="1"/>
    <col min="13840" max="13840" width="12.33203125" style="1" customWidth="1"/>
    <col min="13841" max="14080" width="14.5" style="1"/>
    <col min="14081" max="14081" width="7.83203125" style="1" customWidth="1"/>
    <col min="14082" max="14082" width="41.6640625" style="1" customWidth="1"/>
    <col min="14083" max="14083" width="15.6640625" style="1" bestFit="1" customWidth="1"/>
    <col min="14084" max="14090" width="14.5" style="1"/>
    <col min="14091" max="14091" width="18" style="1" customWidth="1"/>
    <col min="14092" max="14093" width="0" style="1" hidden="1" customWidth="1"/>
    <col min="14094" max="14095" width="14.5" style="1"/>
    <col min="14096" max="14096" width="12.33203125" style="1" customWidth="1"/>
    <col min="14097" max="14336" width="14.5" style="1"/>
    <col min="14337" max="14337" width="7.83203125" style="1" customWidth="1"/>
    <col min="14338" max="14338" width="41.6640625" style="1" customWidth="1"/>
    <col min="14339" max="14339" width="15.6640625" style="1" bestFit="1" customWidth="1"/>
    <col min="14340" max="14346" width="14.5" style="1"/>
    <col min="14347" max="14347" width="18" style="1" customWidth="1"/>
    <col min="14348" max="14349" width="0" style="1" hidden="1" customWidth="1"/>
    <col min="14350" max="14351" width="14.5" style="1"/>
    <col min="14352" max="14352" width="12.33203125" style="1" customWidth="1"/>
    <col min="14353" max="14592" width="14.5" style="1"/>
    <col min="14593" max="14593" width="7.83203125" style="1" customWidth="1"/>
    <col min="14594" max="14594" width="41.6640625" style="1" customWidth="1"/>
    <col min="14595" max="14595" width="15.6640625" style="1" bestFit="1" customWidth="1"/>
    <col min="14596" max="14602" width="14.5" style="1"/>
    <col min="14603" max="14603" width="18" style="1" customWidth="1"/>
    <col min="14604" max="14605" width="0" style="1" hidden="1" customWidth="1"/>
    <col min="14606" max="14607" width="14.5" style="1"/>
    <col min="14608" max="14608" width="12.33203125" style="1" customWidth="1"/>
    <col min="14609" max="14848" width="14.5" style="1"/>
    <col min="14849" max="14849" width="7.83203125" style="1" customWidth="1"/>
    <col min="14850" max="14850" width="41.6640625" style="1" customWidth="1"/>
    <col min="14851" max="14851" width="15.6640625" style="1" bestFit="1" customWidth="1"/>
    <col min="14852" max="14858" width="14.5" style="1"/>
    <col min="14859" max="14859" width="18" style="1" customWidth="1"/>
    <col min="14860" max="14861" width="0" style="1" hidden="1" customWidth="1"/>
    <col min="14862" max="14863" width="14.5" style="1"/>
    <col min="14864" max="14864" width="12.33203125" style="1" customWidth="1"/>
    <col min="14865" max="15104" width="14.5" style="1"/>
    <col min="15105" max="15105" width="7.83203125" style="1" customWidth="1"/>
    <col min="15106" max="15106" width="41.6640625" style="1" customWidth="1"/>
    <col min="15107" max="15107" width="15.6640625" style="1" bestFit="1" customWidth="1"/>
    <col min="15108" max="15114" width="14.5" style="1"/>
    <col min="15115" max="15115" width="18" style="1" customWidth="1"/>
    <col min="15116" max="15117" width="0" style="1" hidden="1" customWidth="1"/>
    <col min="15118" max="15119" width="14.5" style="1"/>
    <col min="15120" max="15120" width="12.33203125" style="1" customWidth="1"/>
    <col min="15121" max="15360" width="14.5" style="1"/>
    <col min="15361" max="15361" width="7.83203125" style="1" customWidth="1"/>
    <col min="15362" max="15362" width="41.6640625" style="1" customWidth="1"/>
    <col min="15363" max="15363" width="15.6640625" style="1" bestFit="1" customWidth="1"/>
    <col min="15364" max="15370" width="14.5" style="1"/>
    <col min="15371" max="15371" width="18" style="1" customWidth="1"/>
    <col min="15372" max="15373" width="0" style="1" hidden="1" customWidth="1"/>
    <col min="15374" max="15375" width="14.5" style="1"/>
    <col min="15376" max="15376" width="12.33203125" style="1" customWidth="1"/>
    <col min="15377" max="15616" width="14.5" style="1"/>
    <col min="15617" max="15617" width="7.83203125" style="1" customWidth="1"/>
    <col min="15618" max="15618" width="41.6640625" style="1" customWidth="1"/>
    <col min="15619" max="15619" width="15.6640625" style="1" bestFit="1" customWidth="1"/>
    <col min="15620" max="15626" width="14.5" style="1"/>
    <col min="15627" max="15627" width="18" style="1" customWidth="1"/>
    <col min="15628" max="15629" width="0" style="1" hidden="1" customWidth="1"/>
    <col min="15630" max="15631" width="14.5" style="1"/>
    <col min="15632" max="15632" width="12.33203125" style="1" customWidth="1"/>
    <col min="15633" max="15872" width="14.5" style="1"/>
    <col min="15873" max="15873" width="7.83203125" style="1" customWidth="1"/>
    <col min="15874" max="15874" width="41.6640625" style="1" customWidth="1"/>
    <col min="15875" max="15875" width="15.6640625" style="1" bestFit="1" customWidth="1"/>
    <col min="15876" max="15882" width="14.5" style="1"/>
    <col min="15883" max="15883" width="18" style="1" customWidth="1"/>
    <col min="15884" max="15885" width="0" style="1" hidden="1" customWidth="1"/>
    <col min="15886" max="15887" width="14.5" style="1"/>
    <col min="15888" max="15888" width="12.33203125" style="1" customWidth="1"/>
    <col min="15889" max="16128" width="14.5" style="1"/>
    <col min="16129" max="16129" width="7.83203125" style="1" customWidth="1"/>
    <col min="16130" max="16130" width="41.6640625" style="1" customWidth="1"/>
    <col min="16131" max="16131" width="15.6640625" style="1" bestFit="1" customWidth="1"/>
    <col min="16132" max="16138" width="14.5" style="1"/>
    <col min="16139" max="16139" width="18" style="1" customWidth="1"/>
    <col min="16140" max="16141" width="0" style="1" hidden="1" customWidth="1"/>
    <col min="16142" max="16143" width="14.5" style="1"/>
    <col min="16144" max="16144" width="12.33203125" style="1" customWidth="1"/>
    <col min="16145" max="16384" width="14.5" style="1"/>
  </cols>
  <sheetData>
    <row r="1" spans="1:23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</row>
    <row r="2" spans="1:23" x14ac:dyDescent="0.15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</row>
    <row r="3" spans="1:23" x14ac:dyDescent="0.15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</row>
    <row r="4" spans="1:23" x14ac:dyDescent="0.15">
      <c r="A4" s="108" t="s">
        <v>3</v>
      </c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</row>
    <row r="5" spans="1:23" ht="13" thickBot="1" x14ac:dyDescent="0.2">
      <c r="A5" s="109" t="s">
        <v>4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</row>
    <row r="6" spans="1:23" s="11" customFormat="1" ht="70.25" customHeight="1" thickBot="1" x14ac:dyDescent="0.2">
      <c r="A6" s="2" t="s">
        <v>5</v>
      </c>
      <c r="B6" s="3" t="s">
        <v>6</v>
      </c>
      <c r="C6" s="4" t="s">
        <v>7</v>
      </c>
      <c r="D6" s="5" t="s">
        <v>8</v>
      </c>
      <c r="E6" s="5" t="s">
        <v>9</v>
      </c>
      <c r="F6" s="6" t="s">
        <v>10</v>
      </c>
      <c r="G6" s="7" t="s">
        <v>11</v>
      </c>
      <c r="H6" s="4" t="s">
        <v>12</v>
      </c>
      <c r="I6" s="6" t="s">
        <v>13</v>
      </c>
      <c r="J6" s="4" t="s">
        <v>14</v>
      </c>
      <c r="K6" s="8" t="s">
        <v>15</v>
      </c>
      <c r="L6" s="4"/>
      <c r="M6" s="4"/>
      <c r="N6" s="4" t="s">
        <v>16</v>
      </c>
      <c r="O6" s="4" t="s">
        <v>17</v>
      </c>
      <c r="P6" s="4" t="s">
        <v>18</v>
      </c>
      <c r="Q6" s="4" t="s">
        <v>19</v>
      </c>
      <c r="R6" s="8" t="s">
        <v>20</v>
      </c>
      <c r="S6" s="9" t="s">
        <v>21</v>
      </c>
      <c r="T6" s="9" t="s">
        <v>22</v>
      </c>
      <c r="U6" s="10" t="s">
        <v>23</v>
      </c>
    </row>
    <row r="7" spans="1:23" s="11" customFormat="1" ht="16.5" customHeight="1" thickBot="1" x14ac:dyDescent="0.2">
      <c r="A7" s="104" t="s">
        <v>24</v>
      </c>
      <c r="B7" s="105"/>
      <c r="C7" s="12">
        <f>C8+C101</f>
        <v>1939718</v>
      </c>
      <c r="D7" s="12">
        <f>D8+D103</f>
        <v>0</v>
      </c>
      <c r="E7" s="12">
        <f>E8+E103</f>
        <v>1939718</v>
      </c>
      <c r="F7" s="12">
        <f>F8+F101</f>
        <v>388813</v>
      </c>
      <c r="G7" s="12">
        <f t="shared" ref="G7:Q7" si="0">G8+G101</f>
        <v>2328531</v>
      </c>
      <c r="H7" s="12">
        <f>H8+H101</f>
        <v>2328531</v>
      </c>
      <c r="I7" s="12">
        <f t="shared" si="0"/>
        <v>0</v>
      </c>
      <c r="J7" s="12">
        <f>J8+J101</f>
        <v>2080170.4499999997</v>
      </c>
      <c r="K7" s="12">
        <f t="shared" si="0"/>
        <v>2117577.4500000002</v>
      </c>
      <c r="L7" s="12">
        <f>L8+L101</f>
        <v>2117559.4500000002</v>
      </c>
      <c r="M7" s="12">
        <f>M8+M101</f>
        <v>-18</v>
      </c>
      <c r="N7" s="12">
        <f>N8+N101</f>
        <v>210953.55000000008</v>
      </c>
      <c r="O7" s="12">
        <f t="shared" si="0"/>
        <v>0</v>
      </c>
      <c r="P7" s="12">
        <f t="shared" si="0"/>
        <v>210953.55000000008</v>
      </c>
      <c r="Q7" s="12">
        <f t="shared" si="0"/>
        <v>1855827.7499999993</v>
      </c>
      <c r="R7" s="12">
        <f>R8+R101</f>
        <v>261749.69999999998</v>
      </c>
      <c r="S7" s="13">
        <f>SUM(K7/H7*100%)</f>
        <v>0.90940487801107228</v>
      </c>
      <c r="T7" s="13">
        <f>SUM(J7/G7*100%)</f>
        <v>0.89334024326925421</v>
      </c>
      <c r="U7" s="13">
        <f>SUM(K7/G7*100%)</f>
        <v>0.90940487801107228</v>
      </c>
      <c r="V7" s="14"/>
      <c r="W7" s="15"/>
    </row>
    <row r="8" spans="1:23" s="11" customFormat="1" ht="16.5" customHeight="1" thickBot="1" x14ac:dyDescent="0.2">
      <c r="A8" s="104" t="s">
        <v>25</v>
      </c>
      <c r="B8" s="105"/>
      <c r="C8" s="12">
        <f>C9+C20+C54+C87+C95</f>
        <v>1939718</v>
      </c>
      <c r="D8" s="12">
        <f>D9+D20+D54+D87+D95+D101</f>
        <v>0</v>
      </c>
      <c r="E8" s="12">
        <f>E9+E20+E54+E87+E95+E101</f>
        <v>1939718</v>
      </c>
      <c r="F8" s="12">
        <f t="shared" ref="F8:Q8" si="1">F9+F20+F54+F87+F95</f>
        <v>288813</v>
      </c>
      <c r="G8" s="12">
        <f t="shared" si="1"/>
        <v>2228531</v>
      </c>
      <c r="H8" s="12">
        <f t="shared" si="1"/>
        <v>2228531</v>
      </c>
      <c r="I8" s="12">
        <f t="shared" si="1"/>
        <v>0</v>
      </c>
      <c r="J8" s="12">
        <f>J9+J20+J54+J87+J95</f>
        <v>1980240.9499999997</v>
      </c>
      <c r="K8" s="12">
        <f>K9+K20+K54+K87+K95</f>
        <v>2017647.95</v>
      </c>
      <c r="L8" s="12">
        <f>L9+L20+L54+L87+L95</f>
        <v>2017629.95</v>
      </c>
      <c r="M8" s="12">
        <f>M9+M20+M54+M87+M95</f>
        <v>-18</v>
      </c>
      <c r="N8" s="12">
        <f t="shared" si="1"/>
        <v>210883.05000000008</v>
      </c>
      <c r="O8" s="12">
        <f t="shared" si="1"/>
        <v>0</v>
      </c>
      <c r="P8" s="12">
        <f t="shared" si="1"/>
        <v>210883.05000000008</v>
      </c>
      <c r="Q8" s="12">
        <f t="shared" si="1"/>
        <v>1780507.5399999993</v>
      </c>
      <c r="R8" s="12">
        <f>R9+R20+R54+R87+R95</f>
        <v>237140.40999999997</v>
      </c>
      <c r="S8" s="13">
        <f>SUM(K8/H8*100%)</f>
        <v>0.90537127372246562</v>
      </c>
      <c r="T8" s="13">
        <f>SUM(J8/G8*100%)</f>
        <v>0.88858577690864504</v>
      </c>
      <c r="U8" s="13">
        <f>SUM(K8/G8*100%)</f>
        <v>0.90537127372246562</v>
      </c>
      <c r="V8" s="14"/>
      <c r="W8" s="15"/>
    </row>
    <row r="9" spans="1:23" s="11" customFormat="1" ht="16" thickBot="1" x14ac:dyDescent="0.25">
      <c r="A9" s="16">
        <v>0</v>
      </c>
      <c r="B9" s="17" t="s">
        <v>26</v>
      </c>
      <c r="C9" s="18">
        <f>SUM(C10:C19)</f>
        <v>1412126</v>
      </c>
      <c r="D9" s="18">
        <f>SUM(D10:D19)</f>
        <v>0</v>
      </c>
      <c r="E9" s="18">
        <f>SUM(E10:E19)</f>
        <v>1412126</v>
      </c>
      <c r="F9" s="18">
        <f t="shared" ref="F9:P9" si="2">SUM(F10:F19)</f>
        <v>205292</v>
      </c>
      <c r="G9" s="19">
        <f t="shared" si="2"/>
        <v>1617418</v>
      </c>
      <c r="H9" s="18">
        <f t="shared" si="2"/>
        <v>1617418</v>
      </c>
      <c r="I9" s="18">
        <f t="shared" si="2"/>
        <v>0</v>
      </c>
      <c r="J9" s="18">
        <f>SUM(J10:J19)</f>
        <v>1413224.43</v>
      </c>
      <c r="K9" s="20">
        <f t="shared" si="2"/>
        <v>1439969.42</v>
      </c>
      <c r="L9" s="21">
        <v>1439969.42</v>
      </c>
      <c r="M9" s="18">
        <f>L9-K9</f>
        <v>0</v>
      </c>
      <c r="N9" s="18">
        <f>SUM(N10:N19)</f>
        <v>177448.5800000001</v>
      </c>
      <c r="O9" s="18">
        <f t="shared" si="2"/>
        <v>0</v>
      </c>
      <c r="P9" s="18">
        <f t="shared" si="2"/>
        <v>177448.5800000001</v>
      </c>
      <c r="Q9" s="18">
        <f>SUM(Q10:Q19)</f>
        <v>1367269.2699999996</v>
      </c>
      <c r="R9" s="19">
        <f>SUM(R10:R19)</f>
        <v>72700.149999999994</v>
      </c>
      <c r="S9" s="22">
        <f>SUM(K9/H9*100%)</f>
        <v>0.89028897910125893</v>
      </c>
      <c r="T9" s="22">
        <f>SUM(J9/G9*100%)</f>
        <v>0.87375337111371332</v>
      </c>
      <c r="U9" s="22">
        <f>SUM(K9/G9*100%)</f>
        <v>0.89028897910125893</v>
      </c>
    </row>
    <row r="10" spans="1:23" ht="16" thickBot="1" x14ac:dyDescent="0.25">
      <c r="A10" s="23">
        <v>1</v>
      </c>
      <c r="B10" s="24" t="s">
        <v>27</v>
      </c>
      <c r="C10" s="25">
        <v>1133760</v>
      </c>
      <c r="D10" s="26">
        <v>0</v>
      </c>
      <c r="E10" s="25">
        <v>1133760</v>
      </c>
      <c r="F10" s="25">
        <f>54240-15727+121500</f>
        <v>160013</v>
      </c>
      <c r="G10" s="27">
        <f t="shared" ref="G10:G19" si="3">SUM(E10+F10)</f>
        <v>1293773</v>
      </c>
      <c r="H10" s="26">
        <f>(94480+94480-7800+91842+159158+78753+115064-20584+215980+94480+94480+94480+94480+94480)</f>
        <v>1293773</v>
      </c>
      <c r="I10" s="26">
        <v>0</v>
      </c>
      <c r="J10" s="26">
        <f>SUM(86500+161500+87683.34+87071.67+92350+97033.33+94950+105553.33+106430+106473.34+116166.66)</f>
        <v>1141711.67</v>
      </c>
      <c r="K10" s="28">
        <f>343930+86233.34+97880+97880+115180+94103.33+106153.33+115780+106816.66</f>
        <v>1163956.6599999999</v>
      </c>
      <c r="L10" s="29">
        <v>1163956.6599999999</v>
      </c>
      <c r="M10" s="18">
        <f t="shared" ref="M10:M73" si="4">L10-K10</f>
        <v>0</v>
      </c>
      <c r="N10" s="30">
        <f t="shared" ref="N10:N19" si="5">SUM(H10-K10)</f>
        <v>129816.34000000008</v>
      </c>
      <c r="O10" s="30">
        <f t="shared" ref="O10:O19" si="6">SUM(G10-H10)</f>
        <v>0</v>
      </c>
      <c r="P10" s="30">
        <f t="shared" ref="P10:P19" si="7">SUM(-I10+N10+O10)</f>
        <v>129816.34000000008</v>
      </c>
      <c r="Q10" s="26">
        <f>15757.23+65198.07+201295.9+311943+62177.95+136824+0.06+86895-0.33+82458+0.26+8542.01+148098.25</f>
        <v>1119189.3999999999</v>
      </c>
      <c r="R10" s="31">
        <f t="shared" ref="R10:R53" si="8">SUM(K10-Q10)</f>
        <v>44767.260000000009</v>
      </c>
      <c r="S10" s="32">
        <f>SUM(K10/H10*100%)</f>
        <v>0.89966065144349117</v>
      </c>
      <c r="T10" s="32">
        <f>SUM(J10/G10*100%)</f>
        <v>0.88246676194355578</v>
      </c>
      <c r="U10" s="32">
        <f>SUM(K10/G10*100%)</f>
        <v>0.89966065144349117</v>
      </c>
    </row>
    <row r="11" spans="1:23" ht="16" thickBot="1" x14ac:dyDescent="0.25">
      <c r="A11" s="23" t="s">
        <v>28</v>
      </c>
      <c r="B11" s="24" t="s">
        <v>29</v>
      </c>
      <c r="C11" s="25">
        <v>54000</v>
      </c>
      <c r="D11" s="26">
        <v>0</v>
      </c>
      <c r="E11" s="25">
        <v>54000</v>
      </c>
      <c r="F11" s="25">
        <v>-3000</v>
      </c>
      <c r="G11" s="27">
        <f t="shared" si="3"/>
        <v>51000</v>
      </c>
      <c r="H11" s="26">
        <f>(4500+4500-1500+4500+3000+4500+4500+4500+4500+4500+4500+4500+4500)</f>
        <v>51000</v>
      </c>
      <c r="I11" s="26">
        <v>0</v>
      </c>
      <c r="J11" s="26">
        <f>SUM(3000+6000+3000+3000+3000+3000+3000+3000+3000+3000+3000)</f>
        <v>36000</v>
      </c>
      <c r="K11" s="28">
        <f>13500+3000+4500+4500+4500+1500+3000+4500+1500</f>
        <v>40500</v>
      </c>
      <c r="L11" s="29">
        <v>40500</v>
      </c>
      <c r="M11" s="18">
        <f t="shared" si="4"/>
        <v>0</v>
      </c>
      <c r="N11" s="30">
        <f t="shared" si="5"/>
        <v>10500</v>
      </c>
      <c r="O11" s="30">
        <f t="shared" si="6"/>
        <v>0</v>
      </c>
      <c r="P11" s="30">
        <f t="shared" si="7"/>
        <v>10500</v>
      </c>
      <c r="Q11" s="33">
        <f>638.34+1276.68+8361.66+10084.98+1819.17+4181-0.17+2362-0.34+1277-0.32+5361.66</f>
        <v>35361.660000000003</v>
      </c>
      <c r="R11" s="31">
        <f t="shared" si="8"/>
        <v>5138.3399999999965</v>
      </c>
      <c r="S11" s="32">
        <f t="shared" ref="S11:S19" si="9">SUM(K11/H11*100%)</f>
        <v>0.79411764705882348</v>
      </c>
      <c r="T11" s="32">
        <f t="shared" ref="T11:T19" si="10">SUM(J11/G11*100%)</f>
        <v>0.70588235294117652</v>
      </c>
      <c r="U11" s="32">
        <f t="shared" ref="U11:U19" si="11">SUM(K11/G11*100%)</f>
        <v>0.79411764705882348</v>
      </c>
    </row>
    <row r="12" spans="1:23" ht="16" thickBot="1" x14ac:dyDescent="0.25">
      <c r="A12" s="34" t="s">
        <v>30</v>
      </c>
      <c r="B12" s="24" t="s">
        <v>31</v>
      </c>
      <c r="C12" s="25">
        <v>31350</v>
      </c>
      <c r="D12" s="26">
        <v>0</v>
      </c>
      <c r="E12" s="25">
        <v>31350</v>
      </c>
      <c r="F12" s="25">
        <f>1170+5500</f>
        <v>6670</v>
      </c>
      <c r="G12" s="27">
        <f t="shared" si="3"/>
        <v>38020</v>
      </c>
      <c r="H12" s="26">
        <f>(10404+23+1193+15950+10450)</f>
        <v>38020</v>
      </c>
      <c r="I12" s="26">
        <v>0</v>
      </c>
      <c r="J12" s="25">
        <f>SUM(9367+138.65+62.65+10068-0.12+11688.84)</f>
        <v>31325.02</v>
      </c>
      <c r="K12" s="28">
        <f>9505.65+62.65+10067.88+11688.84</f>
        <v>31325.02</v>
      </c>
      <c r="L12" s="29">
        <v>31325.02</v>
      </c>
      <c r="M12" s="18">
        <f t="shared" si="4"/>
        <v>0</v>
      </c>
      <c r="N12" s="30">
        <f t="shared" si="5"/>
        <v>6694.98</v>
      </c>
      <c r="O12" s="30">
        <f t="shared" si="6"/>
        <v>0</v>
      </c>
      <c r="P12" s="30">
        <f t="shared" si="7"/>
        <v>6694.98</v>
      </c>
      <c r="Q12" s="33">
        <f>8687.63+10+9274.34+725-0.13+10844.3</f>
        <v>29541.14</v>
      </c>
      <c r="R12" s="31">
        <f t="shared" si="8"/>
        <v>1783.880000000001</v>
      </c>
      <c r="S12" s="32">
        <f t="shared" si="9"/>
        <v>0.82390899526564965</v>
      </c>
      <c r="T12" s="32">
        <f t="shared" si="10"/>
        <v>0.82390899526564965</v>
      </c>
      <c r="U12" s="32">
        <f t="shared" si="11"/>
        <v>0.82390899526564965</v>
      </c>
    </row>
    <row r="13" spans="1:23" ht="16" thickBot="1" x14ac:dyDescent="0.25">
      <c r="A13" s="23" t="s">
        <v>32</v>
      </c>
      <c r="B13" s="24" t="s">
        <v>33</v>
      </c>
      <c r="C13" s="25">
        <v>153281</v>
      </c>
      <c r="D13" s="26">
        <v>0</v>
      </c>
      <c r="E13" s="25">
        <v>153281</v>
      </c>
      <c r="F13" s="25">
        <f>5444+15561-4000</f>
        <v>17005</v>
      </c>
      <c r="G13" s="27">
        <f t="shared" si="3"/>
        <v>170286</v>
      </c>
      <c r="H13" s="26">
        <f>(12774+12774-3823+12774+22041+12774+12773+28334+12773+25546+21546)</f>
        <v>170286</v>
      </c>
      <c r="I13" s="26">
        <v>0</v>
      </c>
      <c r="J13" s="26">
        <f>SUM(22100+9827.33+11108.71+11178.03+11687.13+12261.48+13073.83+13298-0.2+13405.18+29289.45)</f>
        <v>147228.94</v>
      </c>
      <c r="K13" s="28">
        <f>31927.33+11108.71+11178.03+11687.13+12261.48+13073.83+13297.8+13405.18+29289.45</f>
        <v>147228.94</v>
      </c>
      <c r="L13" s="29">
        <v>147228.94</v>
      </c>
      <c r="M13" s="18">
        <f t="shared" si="4"/>
        <v>0</v>
      </c>
      <c r="N13" s="30">
        <f t="shared" si="5"/>
        <v>23057.059999999998</v>
      </c>
      <c r="O13" s="30">
        <f t="shared" si="6"/>
        <v>0</v>
      </c>
      <c r="P13" s="30">
        <f t="shared" si="7"/>
        <v>23057.059999999998</v>
      </c>
      <c r="Q13" s="33">
        <f>10902.52+21009.86+22142.48+11839.6+12254.09+13074-0.17+26703-0.02+13410.49</f>
        <v>131335.85</v>
      </c>
      <c r="R13" s="31">
        <f t="shared" si="8"/>
        <v>15893.089999999997</v>
      </c>
      <c r="S13" s="32">
        <f t="shared" si="9"/>
        <v>0.8645980291979376</v>
      </c>
      <c r="T13" s="32">
        <f t="shared" si="10"/>
        <v>0.8645980291979376</v>
      </c>
      <c r="U13" s="32">
        <f t="shared" si="11"/>
        <v>0.8645980291979376</v>
      </c>
    </row>
    <row r="14" spans="1:23" ht="16" thickBot="1" x14ac:dyDescent="0.25">
      <c r="A14" s="23" t="s">
        <v>34</v>
      </c>
      <c r="B14" s="24" t="s">
        <v>35</v>
      </c>
      <c r="C14" s="25">
        <v>17546</v>
      </c>
      <c r="D14" s="26">
        <v>0</v>
      </c>
      <c r="E14" s="25">
        <v>17546</v>
      </c>
      <c r="F14" s="25">
        <f>1094+1825</f>
        <v>2919</v>
      </c>
      <c r="G14" s="27">
        <f t="shared" si="3"/>
        <v>20465</v>
      </c>
      <c r="H14" s="26">
        <f>(1463+1463+1462+2556+1462+1462+3287+1462+1462+1462+2924)</f>
        <v>20465</v>
      </c>
      <c r="I14" s="26">
        <v>0</v>
      </c>
      <c r="J14" s="26">
        <f>SUM(2495+1156.72+1315.3+1323.75+1385.25+1455.5+1424.25+1583.31+1596.45+3342.6)</f>
        <v>17078.13</v>
      </c>
      <c r="K14" s="28">
        <f>3651.77+1315.25+1323.75+1385.25+1455.5+1424.25+1583.31+1596.45+3342.6</f>
        <v>17078.13</v>
      </c>
      <c r="L14" s="29">
        <v>17078.13</v>
      </c>
      <c r="M14" s="18">
        <f t="shared" si="4"/>
        <v>0</v>
      </c>
      <c r="N14" s="30">
        <f t="shared" si="5"/>
        <v>3386.869999999999</v>
      </c>
      <c r="O14" s="30">
        <f t="shared" si="6"/>
        <v>0</v>
      </c>
      <c r="P14" s="30">
        <f t="shared" si="7"/>
        <v>3386.869999999999</v>
      </c>
      <c r="Q14" s="33">
        <f>1290+2361.77+2621.33+1402.92+1455.5+1424+0.25+3180-0.24+1597.1</f>
        <v>15332.630000000001</v>
      </c>
      <c r="R14" s="31">
        <f t="shared" si="8"/>
        <v>1745.5</v>
      </c>
      <c r="S14" s="32">
        <f t="shared" si="9"/>
        <v>0.83450427559247498</v>
      </c>
      <c r="T14" s="32">
        <f t="shared" si="10"/>
        <v>0.83450427559247498</v>
      </c>
      <c r="U14" s="32">
        <f t="shared" si="11"/>
        <v>0.83450427559247498</v>
      </c>
    </row>
    <row r="15" spans="1:23" ht="16" thickBot="1" x14ac:dyDescent="0.25">
      <c r="A15" s="23" t="s">
        <v>36</v>
      </c>
      <c r="B15" s="24" t="s">
        <v>37</v>
      </c>
      <c r="C15" s="25">
        <v>18680</v>
      </c>
      <c r="D15" s="26">
        <v>0</v>
      </c>
      <c r="E15" s="25">
        <v>18680</v>
      </c>
      <c r="F15" s="25">
        <f>832+1825+4000</f>
        <v>6657</v>
      </c>
      <c r="G15" s="27">
        <f t="shared" si="3"/>
        <v>25337</v>
      </c>
      <c r="H15" s="26">
        <f>(1556+1556-262+1556+2650+1557+1557+3382+1157+400+1557+1557+7114)</f>
        <v>25337</v>
      </c>
      <c r="I15" s="26">
        <v>0</v>
      </c>
      <c r="J15" s="26">
        <f>SUM(3619+1682.45+1904.35+1916.24+2002.35+2100.7+2056.95+2280-0.38+2298.03+4805.64)</f>
        <v>24665.329999999998</v>
      </c>
      <c r="K15" s="28">
        <f>5301.45+1904.35+1916.24+2002.35+2100.7+2056.95+2279.62+2298.03+4805.64</f>
        <v>24665.329999999998</v>
      </c>
      <c r="L15" s="29">
        <v>24665.33</v>
      </c>
      <c r="M15" s="18">
        <f t="shared" si="4"/>
        <v>0</v>
      </c>
      <c r="N15" s="30">
        <f t="shared" si="5"/>
        <v>671.67000000000189</v>
      </c>
      <c r="O15" s="30">
        <f t="shared" si="6"/>
        <v>0</v>
      </c>
      <c r="P15" s="30">
        <f t="shared" si="7"/>
        <v>671.67000000000189</v>
      </c>
      <c r="Q15" s="33">
        <f>1869+3432.45+3795.86+2027.08+2100.7+2056.95+4578-0.35+2298.94</f>
        <v>22158.63</v>
      </c>
      <c r="R15" s="31">
        <f t="shared" si="8"/>
        <v>2506.6999999999971</v>
      </c>
      <c r="S15" s="32">
        <f t="shared" si="9"/>
        <v>0.97349054742076802</v>
      </c>
      <c r="T15" s="32">
        <f t="shared" si="10"/>
        <v>0.97349054742076802</v>
      </c>
      <c r="U15" s="32">
        <f t="shared" si="11"/>
        <v>0.97349054742076802</v>
      </c>
    </row>
    <row r="16" spans="1:23" ht="16" thickBot="1" x14ac:dyDescent="0.25">
      <c r="A16" s="23" t="s">
        <v>38</v>
      </c>
      <c r="B16" s="24" t="s">
        <v>39</v>
      </c>
      <c r="C16" s="25">
        <v>3509</v>
      </c>
      <c r="D16" s="26">
        <v>0</v>
      </c>
      <c r="E16" s="25">
        <v>3509</v>
      </c>
      <c r="F16" s="25">
        <f>219+370</f>
        <v>589</v>
      </c>
      <c r="G16" s="27">
        <f t="shared" si="3"/>
        <v>4098</v>
      </c>
      <c r="H16" s="26">
        <f>(293+293+293+512+293+292+662+292+292+292+292+292)</f>
        <v>4098</v>
      </c>
      <c r="I16" s="26">
        <v>0</v>
      </c>
      <c r="J16" s="26">
        <f>SUM(495+227+236.1+503.7+276.1+277.05+293.05+314-0.35+316.15+4.45)</f>
        <v>2942.25</v>
      </c>
      <c r="K16" s="28">
        <f>722.15+235.95+503.7+276.1+277.05+293.05+313.65+316.15+4.45</f>
        <v>2942.25</v>
      </c>
      <c r="L16" s="29">
        <v>2942.25</v>
      </c>
      <c r="M16" s="18">
        <f t="shared" si="4"/>
        <v>0</v>
      </c>
      <c r="N16" s="30">
        <f t="shared" si="5"/>
        <v>1155.75</v>
      </c>
      <c r="O16" s="30">
        <f t="shared" si="6"/>
        <v>0</v>
      </c>
      <c r="P16" s="30">
        <f t="shared" si="7"/>
        <v>1155.75</v>
      </c>
      <c r="Q16" s="33">
        <f>480.15+495.35+486.3+276.1+277.05+293+0.05+314-0.35+316.15</f>
        <v>2937.8</v>
      </c>
      <c r="R16" s="31">
        <f t="shared" si="8"/>
        <v>4.4499999999998181</v>
      </c>
      <c r="S16" s="32">
        <f t="shared" si="9"/>
        <v>0.71797218155197662</v>
      </c>
      <c r="T16" s="32">
        <f t="shared" si="10"/>
        <v>0.71797218155197662</v>
      </c>
      <c r="U16" s="32">
        <f t="shared" si="11"/>
        <v>0.71797218155197662</v>
      </c>
    </row>
    <row r="17" spans="1:239" ht="16" thickBot="1" x14ac:dyDescent="0.25">
      <c r="A17" s="34" t="s">
        <v>40</v>
      </c>
      <c r="B17" s="24" t="s">
        <v>41</v>
      </c>
      <c r="C17" s="26">
        <v>0</v>
      </c>
      <c r="D17" s="26">
        <v>0</v>
      </c>
      <c r="E17" s="26">
        <v>0</v>
      </c>
      <c r="F17" s="25">
        <v>11891</v>
      </c>
      <c r="G17" s="27">
        <f t="shared" si="3"/>
        <v>11891</v>
      </c>
      <c r="H17" s="26">
        <f>(2000+2270+7621)</f>
        <v>11891</v>
      </c>
      <c r="I17" s="26">
        <v>0</v>
      </c>
      <c r="J17" s="26">
        <f>SUM(4270+5550+420)</f>
        <v>10240</v>
      </c>
      <c r="K17" s="28">
        <f>9820+420</f>
        <v>10240</v>
      </c>
      <c r="L17" s="29">
        <v>10240</v>
      </c>
      <c r="M17" s="18">
        <f t="shared" si="4"/>
        <v>0</v>
      </c>
      <c r="N17" s="30">
        <f t="shared" si="5"/>
        <v>1651</v>
      </c>
      <c r="O17" s="30">
        <f t="shared" si="6"/>
        <v>0</v>
      </c>
      <c r="P17" s="30">
        <f t="shared" si="7"/>
        <v>1651</v>
      </c>
      <c r="Q17" s="33">
        <f>1182.66+285.69+8090.56</f>
        <v>9558.91</v>
      </c>
      <c r="R17" s="31">
        <f t="shared" si="8"/>
        <v>681.09000000000015</v>
      </c>
      <c r="S17" s="32">
        <f t="shared" si="9"/>
        <v>0.86115549575309058</v>
      </c>
      <c r="T17" s="32">
        <f t="shared" si="10"/>
        <v>0.86115549575309058</v>
      </c>
      <c r="U17" s="32">
        <f t="shared" si="11"/>
        <v>0.86115549575309058</v>
      </c>
    </row>
    <row r="18" spans="1:239" ht="16" thickBot="1" x14ac:dyDescent="0.25">
      <c r="A18" s="34" t="s">
        <v>42</v>
      </c>
      <c r="B18" s="24" t="s">
        <v>43</v>
      </c>
      <c r="C18" s="26">
        <v>0</v>
      </c>
      <c r="D18" s="26">
        <v>0</v>
      </c>
      <c r="E18" s="26">
        <v>0</v>
      </c>
      <c r="F18" s="25">
        <v>364</v>
      </c>
      <c r="G18" s="27">
        <f t="shared" si="3"/>
        <v>364</v>
      </c>
      <c r="H18" s="26">
        <f>(23+341)</f>
        <v>364</v>
      </c>
      <c r="I18" s="26">
        <v>0</v>
      </c>
      <c r="J18" s="26">
        <v>108.47</v>
      </c>
      <c r="K18" s="28">
        <v>108.47</v>
      </c>
      <c r="L18" s="29">
        <v>108.47</v>
      </c>
      <c r="M18" s="18">
        <f t="shared" si="4"/>
        <v>0</v>
      </c>
      <c r="N18" s="30">
        <f t="shared" si="5"/>
        <v>255.53</v>
      </c>
      <c r="O18" s="30">
        <f t="shared" si="6"/>
        <v>0</v>
      </c>
      <c r="P18" s="30">
        <f t="shared" si="7"/>
        <v>255.53</v>
      </c>
      <c r="Q18" s="33">
        <f>6.54+100.6</f>
        <v>107.14</v>
      </c>
      <c r="R18" s="31">
        <f t="shared" si="8"/>
        <v>1.3299999999999983</v>
      </c>
      <c r="S18" s="32">
        <f t="shared" si="9"/>
        <v>0.29799450549450551</v>
      </c>
      <c r="T18" s="32">
        <f t="shared" si="10"/>
        <v>0.29799450549450551</v>
      </c>
      <c r="U18" s="32">
        <f t="shared" si="11"/>
        <v>0.29799450549450551</v>
      </c>
    </row>
    <row r="19" spans="1:239" ht="16" thickBot="1" x14ac:dyDescent="0.25">
      <c r="A19" s="35" t="s">
        <v>44</v>
      </c>
      <c r="B19" s="36" t="s">
        <v>45</v>
      </c>
      <c r="C19" s="26">
        <v>0</v>
      </c>
      <c r="D19" s="26">
        <v>0</v>
      </c>
      <c r="E19" s="26">
        <v>0</v>
      </c>
      <c r="F19" s="25">
        <v>2184</v>
      </c>
      <c r="G19" s="27">
        <f t="shared" si="3"/>
        <v>2184</v>
      </c>
      <c r="H19" s="26">
        <f>(585+368+1231)</f>
        <v>2184</v>
      </c>
      <c r="I19" s="26">
        <v>0</v>
      </c>
      <c r="J19" s="26">
        <f>SUM(949+907.79+67.83)</f>
        <v>1924.62</v>
      </c>
      <c r="K19" s="28">
        <f>1856.79+67.83</f>
        <v>1924.62</v>
      </c>
      <c r="L19" s="29">
        <v>1924.62</v>
      </c>
      <c r="M19" s="18">
        <f t="shared" si="4"/>
        <v>0</v>
      </c>
      <c r="N19" s="30">
        <f t="shared" si="5"/>
        <v>259.38000000000011</v>
      </c>
      <c r="O19" s="30">
        <f t="shared" si="6"/>
        <v>0</v>
      </c>
      <c r="P19" s="30">
        <f t="shared" si="7"/>
        <v>259.38000000000011</v>
      </c>
      <c r="Q19" s="33">
        <f>259.2+1148.78+338.13</f>
        <v>1746.1100000000001</v>
      </c>
      <c r="R19" s="31">
        <f t="shared" si="8"/>
        <v>178.50999999999976</v>
      </c>
      <c r="S19" s="32">
        <f t="shared" si="9"/>
        <v>0.88123626373626374</v>
      </c>
      <c r="T19" s="32">
        <f t="shared" si="10"/>
        <v>0.88123626373626374</v>
      </c>
      <c r="U19" s="32">
        <f t="shared" si="11"/>
        <v>0.88123626373626374</v>
      </c>
    </row>
    <row r="20" spans="1:239" s="11" customFormat="1" ht="16" thickBot="1" x14ac:dyDescent="0.25">
      <c r="A20" s="37">
        <v>1</v>
      </c>
      <c r="B20" s="38" t="s">
        <v>46</v>
      </c>
      <c r="C20" s="39">
        <f>SUM(C21:C52)</f>
        <v>472457</v>
      </c>
      <c r="D20" s="39">
        <f>SUM(D21:D53)</f>
        <v>0</v>
      </c>
      <c r="E20" s="39">
        <f>SUM(E21:E53)</f>
        <v>472457</v>
      </c>
      <c r="F20" s="39">
        <f>SUM(F21:F53)</f>
        <v>-94849</v>
      </c>
      <c r="G20" s="40">
        <f>SUM(G21:G53)</f>
        <v>377608</v>
      </c>
      <c r="H20" s="39">
        <f t="shared" ref="H20:P20" si="12">SUM(H21:H53)</f>
        <v>377608</v>
      </c>
      <c r="I20" s="39">
        <f t="shared" si="12"/>
        <v>0</v>
      </c>
      <c r="J20" s="39">
        <f t="shared" si="12"/>
        <v>341519.57999999996</v>
      </c>
      <c r="K20" s="39">
        <f>SUM(K21:K53)</f>
        <v>347062.47</v>
      </c>
      <c r="L20" s="21">
        <v>347044.47</v>
      </c>
      <c r="M20" s="18">
        <f t="shared" si="4"/>
        <v>-18</v>
      </c>
      <c r="N20" s="39">
        <f t="shared" si="12"/>
        <v>30545.529999999992</v>
      </c>
      <c r="O20" s="39">
        <f t="shared" si="12"/>
        <v>0</v>
      </c>
      <c r="P20" s="39">
        <f t="shared" si="12"/>
        <v>30545.529999999992</v>
      </c>
      <c r="Q20" s="39">
        <f>SUM(Q21:Q53)</f>
        <v>264498.61</v>
      </c>
      <c r="R20" s="41">
        <f t="shared" si="8"/>
        <v>82563.859999999986</v>
      </c>
      <c r="S20" s="42">
        <f>SUM(K20/H20*100%)</f>
        <v>0.91910783140187702</v>
      </c>
      <c r="T20" s="43">
        <f>SUM(J20/G20*100%)</f>
        <v>0.90442887862545274</v>
      </c>
      <c r="U20" s="43">
        <f>SUM(K20/G20*100%)</f>
        <v>0.91910783140187702</v>
      </c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  <c r="GN20" s="44"/>
      <c r="GO20" s="44"/>
      <c r="GP20" s="44"/>
      <c r="GQ20" s="44"/>
      <c r="GR20" s="44"/>
      <c r="GS20" s="44"/>
      <c r="GT20" s="44"/>
      <c r="GU20" s="44"/>
      <c r="GV20" s="44"/>
      <c r="GW20" s="44"/>
      <c r="GX20" s="44"/>
      <c r="GY20" s="44"/>
      <c r="GZ20" s="44"/>
      <c r="HA20" s="44"/>
      <c r="HB20" s="44"/>
      <c r="HC20" s="44"/>
      <c r="HD20" s="44"/>
      <c r="HE20" s="44"/>
      <c r="HF20" s="44"/>
      <c r="HG20" s="44"/>
      <c r="HH20" s="44"/>
      <c r="HI20" s="44"/>
      <c r="HJ20" s="44"/>
      <c r="HK20" s="44"/>
      <c r="HL20" s="44"/>
      <c r="HM20" s="44"/>
      <c r="HN20" s="44"/>
      <c r="HO20" s="44"/>
      <c r="HP20" s="44"/>
      <c r="HQ20" s="44"/>
      <c r="HR20" s="44"/>
      <c r="HS20" s="44"/>
      <c r="HT20" s="44"/>
      <c r="HU20" s="44"/>
      <c r="HV20" s="44"/>
      <c r="HW20" s="44"/>
      <c r="HX20" s="44"/>
      <c r="HY20" s="44"/>
      <c r="HZ20" s="44"/>
      <c r="IA20" s="44"/>
      <c r="IB20" s="44"/>
      <c r="IC20" s="44"/>
      <c r="ID20" s="44"/>
      <c r="IE20" s="44"/>
    </row>
    <row r="21" spans="1:239" ht="16" thickBot="1" x14ac:dyDescent="0.25">
      <c r="A21" s="45">
        <v>101</v>
      </c>
      <c r="B21" s="24" t="s">
        <v>47</v>
      </c>
      <c r="C21" s="25">
        <v>170013</v>
      </c>
      <c r="D21" s="26">
        <v>0</v>
      </c>
      <c r="E21" s="25">
        <v>170013</v>
      </c>
      <c r="F21" s="25">
        <f>45130-66425-13085-119</f>
        <v>-34499</v>
      </c>
      <c r="G21" s="27">
        <f t="shared" ref="G21:G53" si="13">SUM(E21+F21)</f>
        <v>135514</v>
      </c>
      <c r="H21" s="26">
        <f>SUM(110922-1726+54856-15334-13085-119)</f>
        <v>135514</v>
      </c>
      <c r="I21" s="46">
        <f>74899.5-74899.5</f>
        <v>0</v>
      </c>
      <c r="J21" s="26">
        <f>47376+7221+3610.5+2407+72392.83</f>
        <v>133007.33000000002</v>
      </c>
      <c r="K21" s="47">
        <f>(109194+26320+28538-28538)</f>
        <v>135514</v>
      </c>
      <c r="L21" s="29">
        <v>135514</v>
      </c>
      <c r="M21" s="18">
        <f t="shared" si="4"/>
        <v>0</v>
      </c>
      <c r="N21" s="30">
        <f>SUM(H21-K21+I21)</f>
        <v>0</v>
      </c>
      <c r="O21" s="30">
        <f>SUM(G21-H21)</f>
        <v>0</v>
      </c>
      <c r="P21" s="30">
        <f t="shared" ref="P21:P53" si="14">SUM(-I21+N21+O21)</f>
        <v>0</v>
      </c>
      <c r="Q21" s="26">
        <f>47376+7221+1203.5+4814+72392.83</f>
        <v>133007.33000000002</v>
      </c>
      <c r="R21" s="31">
        <f t="shared" si="8"/>
        <v>2506.6699999999837</v>
      </c>
      <c r="S21" s="32">
        <f>SUM(K21/H21*100%)</f>
        <v>1</v>
      </c>
      <c r="T21" s="32">
        <f>SUM(J21/G21*100%)</f>
        <v>0.98150250158655206</v>
      </c>
      <c r="U21" s="32">
        <f>SUM(K21/G21*100%)</f>
        <v>1</v>
      </c>
    </row>
    <row r="22" spans="1:239" ht="16" thickBot="1" x14ac:dyDescent="0.25">
      <c r="A22" s="23">
        <v>102</v>
      </c>
      <c r="B22" s="24" t="s">
        <v>48</v>
      </c>
      <c r="C22" s="25">
        <v>0</v>
      </c>
      <c r="D22" s="26">
        <v>0</v>
      </c>
      <c r="E22" s="25">
        <v>0</v>
      </c>
      <c r="F22" s="25">
        <f>2863</f>
        <v>2863</v>
      </c>
      <c r="G22" s="27">
        <f t="shared" si="13"/>
        <v>2863</v>
      </c>
      <c r="H22" s="26">
        <f>2863</f>
        <v>2863</v>
      </c>
      <c r="I22" s="48"/>
      <c r="J22" s="26">
        <f>2862.25</f>
        <v>2862.25</v>
      </c>
      <c r="K22" s="47">
        <f>2862.25</f>
        <v>2862.25</v>
      </c>
      <c r="L22" s="29">
        <v>2862.25</v>
      </c>
      <c r="M22" s="18">
        <f t="shared" si="4"/>
        <v>0</v>
      </c>
      <c r="N22" s="30">
        <f>SUM(H22-K22+I22)</f>
        <v>0.75</v>
      </c>
      <c r="O22" s="30"/>
      <c r="P22" s="30">
        <f t="shared" si="14"/>
        <v>0.75</v>
      </c>
      <c r="Q22" s="26"/>
      <c r="R22" s="31">
        <f t="shared" si="8"/>
        <v>2862.25</v>
      </c>
      <c r="S22" s="32">
        <f t="shared" ref="S22:S53" si="15">SUM(K22/H22*100%)</f>
        <v>0.99973803702410058</v>
      </c>
      <c r="T22" s="32">
        <f t="shared" ref="T22:T53" si="16">SUM(J22/G22*100%)</f>
        <v>0.99973803702410058</v>
      </c>
      <c r="U22" s="32">
        <f t="shared" ref="U22:U53" si="17">SUM(K22/G22*100%)</f>
        <v>0.99973803702410058</v>
      </c>
    </row>
    <row r="23" spans="1:239" ht="16" thickBot="1" x14ac:dyDescent="0.25">
      <c r="A23" s="23" t="s">
        <v>49</v>
      </c>
      <c r="B23" s="24" t="s">
        <v>50</v>
      </c>
      <c r="C23" s="26">
        <v>0</v>
      </c>
      <c r="D23" s="26">
        <v>0</v>
      </c>
      <c r="E23" s="26">
        <v>0</v>
      </c>
      <c r="F23" s="25">
        <f>SUM(3737-15+4000-2700-1555)</f>
        <v>3467</v>
      </c>
      <c r="G23" s="27">
        <f t="shared" si="13"/>
        <v>3467</v>
      </c>
      <c r="H23" s="26">
        <f>SUM(3737-15+4000-2700-1555)</f>
        <v>3467</v>
      </c>
      <c r="I23" s="26">
        <v>0</v>
      </c>
      <c r="J23" s="26">
        <f>3467-0.2</f>
        <v>3466.8</v>
      </c>
      <c r="K23" s="47">
        <f>(2311.2+1155.6)</f>
        <v>3466.7999999999997</v>
      </c>
      <c r="L23" s="29">
        <v>3466.8</v>
      </c>
      <c r="M23" s="18">
        <f t="shared" si="4"/>
        <v>0</v>
      </c>
      <c r="N23" s="30">
        <f>SUM(H23+I23-K23)</f>
        <v>0.20000000000027285</v>
      </c>
      <c r="O23" s="30">
        <f t="shared" ref="O23:O37" si="18">SUM(G23-H23)</f>
        <v>0</v>
      </c>
      <c r="P23" s="30">
        <f t="shared" si="14"/>
        <v>0.20000000000027285</v>
      </c>
      <c r="Q23" s="33">
        <f>577.8+321+642+321+128.4+513.6+449.4</f>
        <v>2953.2000000000003</v>
      </c>
      <c r="R23" s="31">
        <f t="shared" si="8"/>
        <v>513.59999999999945</v>
      </c>
      <c r="S23" s="32">
        <f t="shared" si="15"/>
        <v>0.99994231323911154</v>
      </c>
      <c r="T23" s="32">
        <f t="shared" si="16"/>
        <v>0.99994231323911165</v>
      </c>
      <c r="U23" s="32">
        <f t="shared" si="17"/>
        <v>0.99994231323911154</v>
      </c>
    </row>
    <row r="24" spans="1:239" ht="16" thickBot="1" x14ac:dyDescent="0.25">
      <c r="A24" s="23">
        <v>109</v>
      </c>
      <c r="B24" s="24" t="s">
        <v>51</v>
      </c>
      <c r="C24" s="26">
        <v>0</v>
      </c>
      <c r="D24" s="26">
        <v>0</v>
      </c>
      <c r="E24" s="26">
        <v>0</v>
      </c>
      <c r="F24" s="25">
        <f>-1000+1000</f>
        <v>0</v>
      </c>
      <c r="G24" s="27">
        <f t="shared" si="13"/>
        <v>0</v>
      </c>
      <c r="H24" s="26">
        <f>SUM(1000-1000)</f>
        <v>0</v>
      </c>
      <c r="I24" s="26">
        <v>0</v>
      </c>
      <c r="J24" s="26">
        <v>0</v>
      </c>
      <c r="K24" s="47">
        <v>0</v>
      </c>
      <c r="L24" s="29">
        <v>0</v>
      </c>
      <c r="M24" s="18">
        <f t="shared" si="4"/>
        <v>0</v>
      </c>
      <c r="N24" s="30">
        <f t="shared" ref="N24:N53" si="19">SUM(H24-K24)</f>
        <v>0</v>
      </c>
      <c r="O24" s="30">
        <f t="shared" si="18"/>
        <v>0</v>
      </c>
      <c r="P24" s="30">
        <f t="shared" si="14"/>
        <v>0</v>
      </c>
      <c r="Q24" s="33">
        <v>0</v>
      </c>
      <c r="R24" s="31">
        <f t="shared" si="8"/>
        <v>0</v>
      </c>
      <c r="S24" s="32">
        <v>0</v>
      </c>
      <c r="T24" s="32">
        <v>0</v>
      </c>
      <c r="U24" s="32">
        <v>0</v>
      </c>
    </row>
    <row r="25" spans="1:239" ht="16" thickBot="1" x14ac:dyDescent="0.25">
      <c r="A25" s="34">
        <v>111</v>
      </c>
      <c r="B25" s="24" t="s">
        <v>52</v>
      </c>
      <c r="C25" s="25">
        <v>4530</v>
      </c>
      <c r="D25" s="26">
        <v>0</v>
      </c>
      <c r="E25" s="25">
        <v>4530</v>
      </c>
      <c r="F25" s="25">
        <v>500</v>
      </c>
      <c r="G25" s="27">
        <f t="shared" si="13"/>
        <v>5030</v>
      </c>
      <c r="H25" s="26">
        <f>(377.5+377.5+377.5+877+378+377.5+377.5+377.5+377.5+377.5+377.5+377.5)</f>
        <v>5030</v>
      </c>
      <c r="I25" s="26">
        <v>0</v>
      </c>
      <c r="J25" s="25">
        <f>70.04+25.55+52.85</f>
        <v>148.44</v>
      </c>
      <c r="K25" s="47">
        <f>70.04+25.55+25.55+27.3</f>
        <v>148.44</v>
      </c>
      <c r="L25" s="29">
        <v>148.44</v>
      </c>
      <c r="M25" s="18">
        <f t="shared" si="4"/>
        <v>0</v>
      </c>
      <c r="N25" s="30">
        <f t="shared" si="19"/>
        <v>4881.5600000000004</v>
      </c>
      <c r="O25" s="30">
        <f t="shared" si="18"/>
        <v>0</v>
      </c>
      <c r="P25" s="30">
        <f t="shared" si="14"/>
        <v>4881.5600000000004</v>
      </c>
      <c r="Q25" s="33">
        <f>70.04+25.55+39.2</f>
        <v>134.79000000000002</v>
      </c>
      <c r="R25" s="31">
        <f t="shared" si="8"/>
        <v>13.649999999999977</v>
      </c>
      <c r="S25" s="32">
        <f t="shared" si="15"/>
        <v>2.951093439363817E-2</v>
      </c>
      <c r="T25" s="32">
        <f t="shared" si="16"/>
        <v>2.951093439363817E-2</v>
      </c>
      <c r="U25" s="32">
        <f t="shared" si="17"/>
        <v>2.951093439363817E-2</v>
      </c>
    </row>
    <row r="26" spans="1:239" ht="16" thickBot="1" x14ac:dyDescent="0.25">
      <c r="A26" s="23" t="s">
        <v>53</v>
      </c>
      <c r="B26" s="24" t="s">
        <v>54</v>
      </c>
      <c r="C26" s="25">
        <v>2020</v>
      </c>
      <c r="D26" s="26">
        <v>0</v>
      </c>
      <c r="E26" s="25">
        <v>2020</v>
      </c>
      <c r="F26" s="25">
        <v>0</v>
      </c>
      <c r="G26" s="27">
        <f t="shared" si="13"/>
        <v>2020</v>
      </c>
      <c r="H26" s="26">
        <f>(169+169+169+169+169+169+169+169+168+168+166+166)</f>
        <v>2020</v>
      </c>
      <c r="I26" s="26">
        <v>0</v>
      </c>
      <c r="J26" s="26">
        <v>0</v>
      </c>
      <c r="K26" s="47">
        <v>0</v>
      </c>
      <c r="L26" s="29">
        <v>0</v>
      </c>
      <c r="M26" s="18">
        <f t="shared" si="4"/>
        <v>0</v>
      </c>
      <c r="N26" s="30">
        <f t="shared" si="19"/>
        <v>2020</v>
      </c>
      <c r="O26" s="30">
        <f t="shared" si="18"/>
        <v>0</v>
      </c>
      <c r="P26" s="30">
        <f t="shared" si="14"/>
        <v>2020</v>
      </c>
      <c r="Q26" s="33">
        <v>0</v>
      </c>
      <c r="R26" s="31">
        <f t="shared" si="8"/>
        <v>0</v>
      </c>
      <c r="S26" s="32">
        <f t="shared" si="15"/>
        <v>0</v>
      </c>
      <c r="T26" s="32">
        <f t="shared" si="16"/>
        <v>0</v>
      </c>
      <c r="U26" s="32">
        <f t="shared" si="17"/>
        <v>0</v>
      </c>
    </row>
    <row r="27" spans="1:239" ht="16" thickBot="1" x14ac:dyDescent="0.25">
      <c r="A27" s="23" t="s">
        <v>55</v>
      </c>
      <c r="B27" s="24" t="s">
        <v>56</v>
      </c>
      <c r="C27" s="25">
        <v>704</v>
      </c>
      <c r="D27" s="26">
        <v>0</v>
      </c>
      <c r="E27" s="25">
        <v>704</v>
      </c>
      <c r="F27" s="25">
        <v>0</v>
      </c>
      <c r="G27" s="27">
        <f t="shared" si="13"/>
        <v>704</v>
      </c>
      <c r="H27" s="26">
        <v>704</v>
      </c>
      <c r="I27" s="26">
        <v>0</v>
      </c>
      <c r="J27" s="26">
        <v>0</v>
      </c>
      <c r="K27" s="47">
        <v>0</v>
      </c>
      <c r="L27" s="29">
        <v>0</v>
      </c>
      <c r="M27" s="18">
        <f t="shared" si="4"/>
        <v>0</v>
      </c>
      <c r="N27" s="30">
        <f t="shared" si="19"/>
        <v>704</v>
      </c>
      <c r="O27" s="30">
        <f t="shared" si="18"/>
        <v>0</v>
      </c>
      <c r="P27" s="30">
        <f t="shared" si="14"/>
        <v>704</v>
      </c>
      <c r="Q27" s="33">
        <v>0</v>
      </c>
      <c r="R27" s="31">
        <f t="shared" si="8"/>
        <v>0</v>
      </c>
      <c r="S27" s="32">
        <f t="shared" si="15"/>
        <v>0</v>
      </c>
      <c r="T27" s="32">
        <f t="shared" si="16"/>
        <v>0</v>
      </c>
      <c r="U27" s="32">
        <f t="shared" si="17"/>
        <v>0</v>
      </c>
    </row>
    <row r="28" spans="1:239" ht="16" thickBot="1" x14ac:dyDescent="0.25">
      <c r="A28" s="23" t="s">
        <v>57</v>
      </c>
      <c r="B28" s="24" t="s">
        <v>58</v>
      </c>
      <c r="C28" s="25">
        <v>48360</v>
      </c>
      <c r="D28" s="26">
        <v>0</v>
      </c>
      <c r="E28" s="25">
        <f>SUM(C28+D28)</f>
        <v>48360</v>
      </c>
      <c r="F28" s="25">
        <f>2000+1000-25000</f>
        <v>-22000</v>
      </c>
      <c r="G28" s="27">
        <f t="shared" si="13"/>
        <v>26360</v>
      </c>
      <c r="H28" s="26">
        <f>SUM(3210+3200+4860+1000+6030+4030+4030)</f>
        <v>26360</v>
      </c>
      <c r="I28" s="26">
        <v>0</v>
      </c>
      <c r="J28" s="25">
        <f>SUM(2714.08+1638.66+1651.01+1610.86+2029.96+1613.9+1840.68+1508.44+1674.57+3374.07)</f>
        <v>19656.23</v>
      </c>
      <c r="K28" s="47">
        <f>4352.74+1651.01+1610.86+2029.96+1613.9+1840.68+1508.44+1674.57+3374.07</f>
        <v>19656.23</v>
      </c>
      <c r="L28" s="29">
        <v>19656.23</v>
      </c>
      <c r="M28" s="18">
        <f t="shared" si="4"/>
        <v>0</v>
      </c>
      <c r="N28" s="30">
        <f t="shared" si="19"/>
        <v>6703.77</v>
      </c>
      <c r="O28" s="30">
        <f t="shared" si="18"/>
        <v>0</v>
      </c>
      <c r="P28" s="30">
        <f t="shared" si="14"/>
        <v>6703.77</v>
      </c>
      <c r="Q28" s="33">
        <f>2714.08+1638.66+3261.87+2029.96+1613.9+1840.68+1508.44+1674.57</f>
        <v>16282.16</v>
      </c>
      <c r="R28" s="31">
        <f t="shared" si="8"/>
        <v>3374.0699999999997</v>
      </c>
      <c r="S28" s="32">
        <f t="shared" si="15"/>
        <v>0.74568399089529591</v>
      </c>
      <c r="T28" s="32">
        <f t="shared" si="16"/>
        <v>0.74568399089529591</v>
      </c>
      <c r="U28" s="32">
        <f t="shared" si="17"/>
        <v>0.74568399089529591</v>
      </c>
    </row>
    <row r="29" spans="1:239" ht="16" thickBot="1" x14ac:dyDescent="0.25">
      <c r="A29" s="23" t="s">
        <v>59</v>
      </c>
      <c r="B29" s="24" t="s">
        <v>60</v>
      </c>
      <c r="C29" s="25">
        <v>40400</v>
      </c>
      <c r="D29" s="26">
        <v>0</v>
      </c>
      <c r="E29" s="25">
        <f>SUM(C29+D29)</f>
        <v>40400</v>
      </c>
      <c r="F29" s="25">
        <f>500-25000+7000</f>
        <v>-17500</v>
      </c>
      <c r="G29" s="27">
        <f t="shared" si="13"/>
        <v>22900</v>
      </c>
      <c r="H29" s="26">
        <f>SUM(5299+500+5939+795+3367+7000)</f>
        <v>22900</v>
      </c>
      <c r="I29" s="26">
        <v>0</v>
      </c>
      <c r="J29" s="25">
        <f>SUM(3214.4+1430+1418.74+1407.12+1436.44+1590.98+1764.48+1765.79+6624.26)</f>
        <v>20652.21</v>
      </c>
      <c r="K29" s="47">
        <f>4644.4+1418.74+1419.4+1424.16+1590.98+1764.48+1765.79+6624.26</f>
        <v>20652.21</v>
      </c>
      <c r="L29" s="29">
        <v>20652.21</v>
      </c>
      <c r="M29" s="18">
        <f t="shared" si="4"/>
        <v>0</v>
      </c>
      <c r="N29" s="30">
        <f t="shared" si="19"/>
        <v>2247.7900000000009</v>
      </c>
      <c r="O29" s="30">
        <f t="shared" si="18"/>
        <v>0</v>
      </c>
      <c r="P29" s="30">
        <f t="shared" si="14"/>
        <v>2247.7900000000009</v>
      </c>
      <c r="Q29" s="33">
        <f>3214.4+1430+2825.86+1436.44+1590.98+1764.48+1765.79</f>
        <v>14027.95</v>
      </c>
      <c r="R29" s="31">
        <f t="shared" si="8"/>
        <v>6624.2599999999984</v>
      </c>
      <c r="S29" s="32">
        <f t="shared" si="15"/>
        <v>0.90184323144104794</v>
      </c>
      <c r="T29" s="32">
        <f t="shared" si="16"/>
        <v>0.90184323144104794</v>
      </c>
      <c r="U29" s="32">
        <f t="shared" si="17"/>
        <v>0.90184323144104794</v>
      </c>
    </row>
    <row r="30" spans="1:239" ht="16" thickBot="1" x14ac:dyDescent="0.25">
      <c r="A30" s="34" t="s">
        <v>61</v>
      </c>
      <c r="B30" s="24" t="s">
        <v>62</v>
      </c>
      <c r="C30" s="26">
        <v>29828</v>
      </c>
      <c r="D30" s="26">
        <v>0</v>
      </c>
      <c r="E30" s="25">
        <f>SUM(C30+D30)</f>
        <v>29828</v>
      </c>
      <c r="F30" s="25">
        <f>1000-6773-7000</f>
        <v>-12773</v>
      </c>
      <c r="G30" s="27">
        <f t="shared" si="13"/>
        <v>17055</v>
      </c>
      <c r="H30" s="26">
        <f>SUM(1093+983+21979-7000)</f>
        <v>17055</v>
      </c>
      <c r="I30" s="26">
        <v>0</v>
      </c>
      <c r="J30" s="26">
        <f>SUM(1075.2+3223.91)</f>
        <v>4299.1099999999997</v>
      </c>
      <c r="K30" s="47">
        <f>1075.2+3223.91</f>
        <v>4299.1099999999997</v>
      </c>
      <c r="L30" s="29">
        <v>4299.1099999999997</v>
      </c>
      <c r="M30" s="18">
        <f t="shared" si="4"/>
        <v>0</v>
      </c>
      <c r="N30" s="30">
        <f t="shared" si="19"/>
        <v>12755.89</v>
      </c>
      <c r="O30" s="30">
        <f t="shared" si="18"/>
        <v>0</v>
      </c>
      <c r="P30" s="30">
        <f t="shared" si="14"/>
        <v>12755.89</v>
      </c>
      <c r="Q30" s="33">
        <f>448+179.2+269-0.2</f>
        <v>896</v>
      </c>
      <c r="R30" s="31">
        <f t="shared" si="8"/>
        <v>3403.1099999999997</v>
      </c>
      <c r="S30" s="32">
        <f t="shared" si="15"/>
        <v>0.25207329228965109</v>
      </c>
      <c r="T30" s="32">
        <f t="shared" si="16"/>
        <v>0.25207329228965109</v>
      </c>
      <c r="U30" s="32">
        <f t="shared" si="17"/>
        <v>0.25207329228965109</v>
      </c>
    </row>
    <row r="31" spans="1:239" ht="16" thickBot="1" x14ac:dyDescent="0.25">
      <c r="A31" s="34">
        <v>117</v>
      </c>
      <c r="B31" s="24" t="s">
        <v>63</v>
      </c>
      <c r="C31" s="26">
        <v>12448</v>
      </c>
      <c r="D31" s="26">
        <v>0</v>
      </c>
      <c r="E31" s="25">
        <f>SUM(C31+D31)</f>
        <v>12448</v>
      </c>
      <c r="F31" s="25">
        <f>-2000-8714</f>
        <v>-10714</v>
      </c>
      <c r="G31" s="27">
        <f t="shared" si="13"/>
        <v>1734</v>
      </c>
      <c r="H31" s="26">
        <f>SUM(3734-2000)</f>
        <v>1734</v>
      </c>
      <c r="I31" s="26">
        <v>0</v>
      </c>
      <c r="J31" s="25">
        <v>1733.4</v>
      </c>
      <c r="K31" s="47">
        <f>(1733.4)</f>
        <v>1733.4</v>
      </c>
      <c r="L31" s="29">
        <v>1733.4</v>
      </c>
      <c r="M31" s="18">
        <f t="shared" si="4"/>
        <v>0</v>
      </c>
      <c r="N31" s="30">
        <f t="shared" si="19"/>
        <v>0.59999999999990905</v>
      </c>
      <c r="O31" s="30">
        <f t="shared" si="18"/>
        <v>0</v>
      </c>
      <c r="P31" s="30">
        <f t="shared" si="14"/>
        <v>0.59999999999990905</v>
      </c>
      <c r="Q31" s="33">
        <f>722.25+144.45+144.45+288.9</f>
        <v>1300.0500000000002</v>
      </c>
      <c r="R31" s="31">
        <f t="shared" si="8"/>
        <v>433.34999999999991</v>
      </c>
      <c r="S31" s="32">
        <f t="shared" si="15"/>
        <v>0.99965397923875443</v>
      </c>
      <c r="T31" s="32">
        <f t="shared" si="16"/>
        <v>0.99965397923875443</v>
      </c>
      <c r="U31" s="32">
        <f t="shared" si="17"/>
        <v>0.99965397923875443</v>
      </c>
    </row>
    <row r="32" spans="1:239" ht="16" thickBot="1" x14ac:dyDescent="0.25">
      <c r="A32" s="34" t="s">
        <v>64</v>
      </c>
      <c r="B32" s="36" t="s">
        <v>65</v>
      </c>
      <c r="C32" s="26">
        <v>42440</v>
      </c>
      <c r="D32" s="26">
        <v>0</v>
      </c>
      <c r="E32" s="26">
        <v>42440</v>
      </c>
      <c r="F32" s="25">
        <f>-1000-10000-5000-15642</f>
        <v>-31642</v>
      </c>
      <c r="G32" s="27">
        <f t="shared" si="13"/>
        <v>10798</v>
      </c>
      <c r="H32" s="26">
        <f>SUM(24000+440-1000+18000-10000-5000-15642)</f>
        <v>10798</v>
      </c>
      <c r="I32" s="26">
        <v>0</v>
      </c>
      <c r="J32" s="26">
        <f>8120-120+163.34+2505+90.52</f>
        <v>10758.86</v>
      </c>
      <c r="K32" s="47">
        <f>8120-120+201.86+2557</f>
        <v>10758.86</v>
      </c>
      <c r="L32" s="29">
        <v>10758.86</v>
      </c>
      <c r="M32" s="18">
        <f t="shared" si="4"/>
        <v>0</v>
      </c>
      <c r="N32" s="30">
        <f t="shared" si="19"/>
        <v>39.139999999999418</v>
      </c>
      <c r="O32" s="30">
        <f t="shared" si="18"/>
        <v>0</v>
      </c>
      <c r="P32" s="30">
        <f t="shared" si="14"/>
        <v>39.139999999999418</v>
      </c>
      <c r="Q32" s="33">
        <f>163+0.34+8090.52</f>
        <v>8253.86</v>
      </c>
      <c r="R32" s="31">
        <f t="shared" si="8"/>
        <v>2505</v>
      </c>
      <c r="S32" s="32">
        <f t="shared" si="15"/>
        <v>0.996375254676792</v>
      </c>
      <c r="T32" s="32">
        <f t="shared" si="16"/>
        <v>0.996375254676792</v>
      </c>
      <c r="U32" s="32">
        <f t="shared" si="17"/>
        <v>0.996375254676792</v>
      </c>
    </row>
    <row r="33" spans="1:21" ht="16" thickBot="1" x14ac:dyDescent="0.25">
      <c r="A33" s="34">
        <v>131</v>
      </c>
      <c r="B33" s="36" t="s">
        <v>66</v>
      </c>
      <c r="C33" s="26">
        <v>0</v>
      </c>
      <c r="D33" s="26">
        <v>0</v>
      </c>
      <c r="E33" s="26">
        <v>0</v>
      </c>
      <c r="F33" s="25">
        <f>2173-2173</f>
        <v>0</v>
      </c>
      <c r="G33" s="27">
        <f t="shared" si="13"/>
        <v>0</v>
      </c>
      <c r="H33" s="26">
        <f>SUM(2173-2173)</f>
        <v>0</v>
      </c>
      <c r="I33" s="26">
        <v>0</v>
      </c>
      <c r="J33" s="26">
        <v>0</v>
      </c>
      <c r="K33" s="47">
        <v>0</v>
      </c>
      <c r="L33" s="29">
        <v>0</v>
      </c>
      <c r="M33" s="18">
        <f t="shared" si="4"/>
        <v>0</v>
      </c>
      <c r="N33" s="30">
        <f t="shared" si="19"/>
        <v>0</v>
      </c>
      <c r="O33" s="30">
        <f t="shared" si="18"/>
        <v>0</v>
      </c>
      <c r="P33" s="30">
        <f t="shared" si="14"/>
        <v>0</v>
      </c>
      <c r="Q33" s="33">
        <v>0</v>
      </c>
      <c r="R33" s="31">
        <f t="shared" si="8"/>
        <v>0</v>
      </c>
      <c r="S33" s="32">
        <v>0</v>
      </c>
      <c r="T33" s="32">
        <v>0</v>
      </c>
      <c r="U33" s="32">
        <v>0</v>
      </c>
    </row>
    <row r="34" spans="1:21" ht="16" thickBot="1" x14ac:dyDescent="0.25">
      <c r="A34" s="23" t="s">
        <v>67</v>
      </c>
      <c r="B34" s="24" t="s">
        <v>68</v>
      </c>
      <c r="C34" s="25">
        <v>20221</v>
      </c>
      <c r="D34" s="26">
        <v>0</v>
      </c>
      <c r="E34" s="25">
        <v>20221</v>
      </c>
      <c r="F34" s="25">
        <f>7000-7352+5733</f>
        <v>5381</v>
      </c>
      <c r="G34" s="27">
        <f t="shared" si="13"/>
        <v>25602</v>
      </c>
      <c r="H34" s="26">
        <f>SUM(7000+10100+10121-7352+5733)</f>
        <v>25602</v>
      </c>
      <c r="I34" s="26">
        <v>0</v>
      </c>
      <c r="J34" s="26">
        <f>3576.88+1690.71+20270.08</f>
        <v>25537.670000000002</v>
      </c>
      <c r="K34" s="47">
        <f>17100-13523.12+267.5+1423.21+20270.08</f>
        <v>25537.670000000002</v>
      </c>
      <c r="L34" s="29">
        <v>25537.67</v>
      </c>
      <c r="M34" s="18">
        <f t="shared" si="4"/>
        <v>0</v>
      </c>
      <c r="N34" s="30">
        <f t="shared" si="19"/>
        <v>64.329999999998108</v>
      </c>
      <c r="O34" s="30">
        <f t="shared" si="18"/>
        <v>0</v>
      </c>
      <c r="P34" s="30">
        <f t="shared" si="14"/>
        <v>64.329999999998108</v>
      </c>
      <c r="Q34" s="26">
        <f>3084+0.3</f>
        <v>3084.3</v>
      </c>
      <c r="R34" s="31">
        <f t="shared" si="8"/>
        <v>22453.370000000003</v>
      </c>
      <c r="S34" s="32">
        <f t="shared" si="15"/>
        <v>0.99748730567924393</v>
      </c>
      <c r="T34" s="32">
        <f t="shared" si="16"/>
        <v>0.99748730567924393</v>
      </c>
      <c r="U34" s="32">
        <f t="shared" si="17"/>
        <v>0.99748730567924393</v>
      </c>
    </row>
    <row r="35" spans="1:21" ht="16" thickBot="1" x14ac:dyDescent="0.25">
      <c r="A35" s="23">
        <v>141</v>
      </c>
      <c r="B35" s="24" t="s">
        <v>69</v>
      </c>
      <c r="C35" s="26">
        <v>0</v>
      </c>
      <c r="D35" s="26">
        <v>0</v>
      </c>
      <c r="E35" s="26">
        <v>0</v>
      </c>
      <c r="F35" s="25">
        <f>2450+1000+4840-2076</f>
        <v>6214</v>
      </c>
      <c r="G35" s="27">
        <f t="shared" si="13"/>
        <v>6214</v>
      </c>
      <c r="H35" s="26">
        <f>SUM(2450+1000+4840-2076)</f>
        <v>6214</v>
      </c>
      <c r="I35" s="26">
        <v>0</v>
      </c>
      <c r="J35" s="26">
        <f>1137+112+18+90-36+3885+748+143+18</f>
        <v>6115</v>
      </c>
      <c r="K35" s="47">
        <f>1142-112+224+18+90-36+3885+748+24+119+18</f>
        <v>6120</v>
      </c>
      <c r="L35" s="29">
        <v>6102</v>
      </c>
      <c r="M35" s="18">
        <f t="shared" si="4"/>
        <v>-18</v>
      </c>
      <c r="N35" s="30">
        <f t="shared" si="19"/>
        <v>94</v>
      </c>
      <c r="O35" s="30">
        <f t="shared" si="18"/>
        <v>0</v>
      </c>
      <c r="P35" s="30">
        <f t="shared" si="14"/>
        <v>94</v>
      </c>
      <c r="Q35" s="26">
        <f>468+582+106+3562+797+193+224</f>
        <v>5932</v>
      </c>
      <c r="R35" s="31">
        <f t="shared" si="8"/>
        <v>188</v>
      </c>
      <c r="S35" s="32">
        <f t="shared" si="15"/>
        <v>0.98487286771805604</v>
      </c>
      <c r="T35" s="32">
        <f t="shared" si="16"/>
        <v>0.98406823302220792</v>
      </c>
      <c r="U35" s="32">
        <f t="shared" si="17"/>
        <v>0.98487286771805604</v>
      </c>
    </row>
    <row r="36" spans="1:21" ht="16" thickBot="1" x14ac:dyDescent="0.25">
      <c r="A36" s="23" t="s">
        <v>70</v>
      </c>
      <c r="B36" s="24" t="s">
        <v>71</v>
      </c>
      <c r="C36" s="25">
        <v>31765</v>
      </c>
      <c r="D36" s="26">
        <v>0</v>
      </c>
      <c r="E36" s="25">
        <v>31765</v>
      </c>
      <c r="F36" s="25">
        <f>-11212-10000-10553</f>
        <v>-31765</v>
      </c>
      <c r="G36" s="27">
        <f t="shared" si="13"/>
        <v>0</v>
      </c>
      <c r="H36" s="26">
        <f>SUM(10000+11765-11212-10553)</f>
        <v>0</v>
      </c>
      <c r="I36" s="26">
        <v>0</v>
      </c>
      <c r="J36" s="26">
        <v>0</v>
      </c>
      <c r="K36" s="47">
        <f>2000-2000</f>
        <v>0</v>
      </c>
      <c r="L36" s="29">
        <v>0</v>
      </c>
      <c r="M36" s="18">
        <f t="shared" si="4"/>
        <v>0</v>
      </c>
      <c r="N36" s="30">
        <f t="shared" si="19"/>
        <v>0</v>
      </c>
      <c r="O36" s="30">
        <f t="shared" si="18"/>
        <v>0</v>
      </c>
      <c r="P36" s="30">
        <f t="shared" si="14"/>
        <v>0</v>
      </c>
      <c r="Q36" s="33">
        <v>0</v>
      </c>
      <c r="R36" s="31">
        <f t="shared" si="8"/>
        <v>0</v>
      </c>
      <c r="S36" s="32">
        <v>0</v>
      </c>
      <c r="T36" s="32">
        <v>0</v>
      </c>
      <c r="U36" s="32">
        <v>0</v>
      </c>
    </row>
    <row r="37" spans="1:21" ht="16" thickBot="1" x14ac:dyDescent="0.25">
      <c r="A37" s="34" t="s">
        <v>72</v>
      </c>
      <c r="B37" s="24" t="s">
        <v>73</v>
      </c>
      <c r="C37" s="25">
        <v>13362</v>
      </c>
      <c r="D37" s="26">
        <v>0</v>
      </c>
      <c r="E37" s="25">
        <v>13362</v>
      </c>
      <c r="F37" s="25">
        <f>4000-4887-8000-740-1452</f>
        <v>-11079</v>
      </c>
      <c r="G37" s="27">
        <f t="shared" si="13"/>
        <v>2283</v>
      </c>
      <c r="H37" s="26">
        <f>SUM(1000+7000-4887+5000-3638-740-1452)</f>
        <v>2283</v>
      </c>
      <c r="I37" s="26">
        <v>0</v>
      </c>
      <c r="J37" s="25">
        <f>492+60-50+288.77-5+390+575+10+178</f>
        <v>1938.77</v>
      </c>
      <c r="K37" s="47">
        <f>549+60-50+288.77-5+390+585+20+158</f>
        <v>1995.77</v>
      </c>
      <c r="L37" s="29">
        <v>1995.77</v>
      </c>
      <c r="M37" s="18">
        <f t="shared" si="4"/>
        <v>0</v>
      </c>
      <c r="N37" s="30">
        <f t="shared" si="19"/>
        <v>287.23</v>
      </c>
      <c r="O37" s="30">
        <f t="shared" si="18"/>
        <v>0</v>
      </c>
      <c r="P37" s="30">
        <f t="shared" si="14"/>
        <v>287.23</v>
      </c>
      <c r="Q37" s="33">
        <f>15+182+10+418.77+240+410+248</f>
        <v>1523.77</v>
      </c>
      <c r="R37" s="31">
        <f t="shared" si="8"/>
        <v>472</v>
      </c>
      <c r="S37" s="32">
        <f t="shared" si="15"/>
        <v>0.87418747262374064</v>
      </c>
      <c r="T37" s="32">
        <f t="shared" si="16"/>
        <v>0.84922032413491022</v>
      </c>
      <c r="U37" s="32">
        <f t="shared" si="17"/>
        <v>0.87418747262374064</v>
      </c>
    </row>
    <row r="38" spans="1:21" ht="16" thickBot="1" x14ac:dyDescent="0.25">
      <c r="A38" s="23">
        <v>152</v>
      </c>
      <c r="B38" s="24" t="s">
        <v>74</v>
      </c>
      <c r="C38" s="25">
        <v>0</v>
      </c>
      <c r="D38" s="26"/>
      <c r="E38" s="25"/>
      <c r="F38" s="25">
        <f>10000-10000</f>
        <v>0</v>
      </c>
      <c r="G38" s="27">
        <f t="shared" si="13"/>
        <v>0</v>
      </c>
      <c r="H38" s="26">
        <f>10000-10000</f>
        <v>0</v>
      </c>
      <c r="I38" s="26"/>
      <c r="J38" s="25"/>
      <c r="K38" s="47"/>
      <c r="L38" s="29">
        <v>0</v>
      </c>
      <c r="M38" s="18">
        <f t="shared" si="4"/>
        <v>0</v>
      </c>
      <c r="N38" s="30">
        <f t="shared" si="19"/>
        <v>0</v>
      </c>
      <c r="O38" s="30"/>
      <c r="P38" s="30">
        <f t="shared" si="14"/>
        <v>0</v>
      </c>
      <c r="Q38" s="33"/>
      <c r="R38" s="31">
        <f t="shared" si="8"/>
        <v>0</v>
      </c>
      <c r="S38" s="32">
        <v>0</v>
      </c>
      <c r="T38" s="32">
        <v>0</v>
      </c>
      <c r="U38" s="32">
        <v>0</v>
      </c>
    </row>
    <row r="39" spans="1:21" ht="16" thickBot="1" x14ac:dyDescent="0.25">
      <c r="A39" s="34">
        <v>153</v>
      </c>
      <c r="B39" s="24" t="s">
        <v>75</v>
      </c>
      <c r="C39" s="26">
        <v>0</v>
      </c>
      <c r="D39" s="26">
        <v>0</v>
      </c>
      <c r="E39" s="26">
        <v>0</v>
      </c>
      <c r="F39" s="25">
        <f>3000-3000</f>
        <v>0</v>
      </c>
      <c r="G39" s="27">
        <f t="shared" si="13"/>
        <v>0</v>
      </c>
      <c r="H39" s="26">
        <f>SUM(3000-3000)</f>
        <v>0</v>
      </c>
      <c r="I39" s="26">
        <v>0</v>
      </c>
      <c r="J39" s="25">
        <v>0</v>
      </c>
      <c r="K39" s="47">
        <v>0</v>
      </c>
      <c r="L39" s="29">
        <v>0</v>
      </c>
      <c r="M39" s="18">
        <f t="shared" si="4"/>
        <v>0</v>
      </c>
      <c r="N39" s="30">
        <f t="shared" si="19"/>
        <v>0</v>
      </c>
      <c r="O39" s="30">
        <f>SUM(G39-H39)</f>
        <v>0</v>
      </c>
      <c r="P39" s="30">
        <f t="shared" si="14"/>
        <v>0</v>
      </c>
      <c r="Q39" s="33">
        <v>0</v>
      </c>
      <c r="R39" s="31">
        <f t="shared" si="8"/>
        <v>0</v>
      </c>
      <c r="S39" s="32">
        <v>0</v>
      </c>
      <c r="T39" s="32">
        <v>0</v>
      </c>
      <c r="U39" s="32">
        <v>0</v>
      </c>
    </row>
    <row r="40" spans="1:21" ht="16" thickBot="1" x14ac:dyDescent="0.25">
      <c r="A40" s="34">
        <v>154</v>
      </c>
      <c r="B40" s="24" t="s">
        <v>76</v>
      </c>
      <c r="C40" s="26">
        <v>0</v>
      </c>
      <c r="D40" s="26">
        <v>0</v>
      </c>
      <c r="E40" s="26">
        <v>0</v>
      </c>
      <c r="F40" s="25">
        <f>1000-729</f>
        <v>271</v>
      </c>
      <c r="G40" s="27">
        <f t="shared" si="13"/>
        <v>271</v>
      </c>
      <c r="H40" s="26">
        <f>SUM(1000-729)</f>
        <v>271</v>
      </c>
      <c r="I40" s="26">
        <v>0</v>
      </c>
      <c r="J40" s="25">
        <f>170.66+12.85-13+0.15+38.85-12+61.6+3</f>
        <v>262.11</v>
      </c>
      <c r="K40" s="47">
        <f>175.66+38.85-12+61.6+3</f>
        <v>267.11</v>
      </c>
      <c r="L40" s="29">
        <v>267.11</v>
      </c>
      <c r="M40" s="18">
        <f t="shared" si="4"/>
        <v>0</v>
      </c>
      <c r="N40" s="30">
        <f t="shared" si="19"/>
        <v>3.8899999999999864</v>
      </c>
      <c r="O40" s="30">
        <f>SUM(G40-H40)</f>
        <v>0</v>
      </c>
      <c r="P40" s="30">
        <f t="shared" si="14"/>
        <v>3.8899999999999864</v>
      </c>
      <c r="Q40" s="33">
        <f>170.66+26.85+62-0.4+3</f>
        <v>262.11</v>
      </c>
      <c r="R40" s="31">
        <f t="shared" si="8"/>
        <v>5</v>
      </c>
      <c r="S40" s="32">
        <f t="shared" si="15"/>
        <v>0.98564575645756458</v>
      </c>
      <c r="T40" s="32">
        <f t="shared" si="16"/>
        <v>0.96719557195571959</v>
      </c>
      <c r="U40" s="32">
        <f t="shared" si="17"/>
        <v>0.98564575645756458</v>
      </c>
    </row>
    <row r="41" spans="1:21" ht="16" thickBot="1" x14ac:dyDescent="0.25">
      <c r="A41" s="23" t="s">
        <v>77</v>
      </c>
      <c r="B41" s="24" t="s">
        <v>78</v>
      </c>
      <c r="C41" s="25">
        <v>8735</v>
      </c>
      <c r="D41" s="26">
        <v>0</v>
      </c>
      <c r="E41" s="25">
        <v>8735</v>
      </c>
      <c r="F41" s="25">
        <f>-1774-3500+1027</f>
        <v>-4247</v>
      </c>
      <c r="G41" s="27">
        <f t="shared" si="13"/>
        <v>4488</v>
      </c>
      <c r="H41" s="26">
        <f>SUM(2621+605+2000-1765+1027)</f>
        <v>4488</v>
      </c>
      <c r="I41" s="26">
        <v>0</v>
      </c>
      <c r="J41" s="26">
        <f>379.75+1343.43</f>
        <v>1723.18</v>
      </c>
      <c r="K41" s="47">
        <f>1723.18+2524+0.42</f>
        <v>4247.6000000000004</v>
      </c>
      <c r="L41" s="29">
        <v>4247.6000000000004</v>
      </c>
      <c r="M41" s="18">
        <f t="shared" si="4"/>
        <v>0</v>
      </c>
      <c r="N41" s="30">
        <f t="shared" si="19"/>
        <v>240.39999999999964</v>
      </c>
      <c r="O41" s="30">
        <f>SUM(G41-H41)</f>
        <v>0</v>
      </c>
      <c r="P41" s="30">
        <f t="shared" si="14"/>
        <v>240.39999999999964</v>
      </c>
      <c r="Q41" s="33">
        <f>1723.18</f>
        <v>1723.18</v>
      </c>
      <c r="R41" s="31">
        <f t="shared" si="8"/>
        <v>2524.42</v>
      </c>
      <c r="S41" s="32">
        <f t="shared" si="15"/>
        <v>0.94643493761140829</v>
      </c>
      <c r="T41" s="32">
        <f t="shared" si="16"/>
        <v>0.38395276292335118</v>
      </c>
      <c r="U41" s="32">
        <f t="shared" si="17"/>
        <v>0.94643493761140829</v>
      </c>
    </row>
    <row r="42" spans="1:21" ht="16" thickBot="1" x14ac:dyDescent="0.25">
      <c r="A42" s="23">
        <v>165</v>
      </c>
      <c r="B42" s="24" t="s">
        <v>79</v>
      </c>
      <c r="C42" s="26">
        <v>0</v>
      </c>
      <c r="D42" s="26">
        <v>0</v>
      </c>
      <c r="E42" s="26">
        <v>0</v>
      </c>
      <c r="F42" s="25">
        <f>25965-9844+8000+6000+1200+5082</f>
        <v>36403</v>
      </c>
      <c r="G42" s="27">
        <f t="shared" si="13"/>
        <v>36403</v>
      </c>
      <c r="H42" s="26">
        <f>SUM(20115+5850-9844+8000+6000+1200+5082)</f>
        <v>36403</v>
      </c>
      <c r="I42" s="26">
        <v>0</v>
      </c>
      <c r="J42" s="25">
        <f>SUM(13060.53+2058.1+518.95+16.05+3750.72-15-0.25+10265.25+585+5745.41)</f>
        <v>35984.76</v>
      </c>
      <c r="K42" s="28">
        <f>15118.63+518.95+433.35+3750.72-15+10265+585+5745.41</f>
        <v>36402.06</v>
      </c>
      <c r="L42" s="29">
        <v>36402.06</v>
      </c>
      <c r="M42" s="18">
        <f t="shared" si="4"/>
        <v>0</v>
      </c>
      <c r="N42" s="30">
        <f t="shared" si="19"/>
        <v>0.94000000000232831</v>
      </c>
      <c r="O42" s="30">
        <f>SUM(G42-H42)</f>
        <v>0</v>
      </c>
      <c r="P42" s="30">
        <f t="shared" si="14"/>
        <v>0.94000000000232831</v>
      </c>
      <c r="Q42" s="33">
        <f>2431.46+1215.73+1107.45+1107.45+3700.55+1107.45+1122.7+1107+0.45+13018.63</f>
        <v>25918.870000000003</v>
      </c>
      <c r="R42" s="31">
        <f t="shared" si="8"/>
        <v>10483.189999999995</v>
      </c>
      <c r="S42" s="32">
        <f t="shared" si="15"/>
        <v>0.99997417795236654</v>
      </c>
      <c r="T42" s="32">
        <f t="shared" si="16"/>
        <v>0.98851083701892706</v>
      </c>
      <c r="U42" s="32">
        <f t="shared" si="17"/>
        <v>0.99997417795236654</v>
      </c>
    </row>
    <row r="43" spans="1:21" ht="16" thickBot="1" x14ac:dyDescent="0.25">
      <c r="A43" s="23" t="s">
        <v>80</v>
      </c>
      <c r="B43" s="24" t="s">
        <v>81</v>
      </c>
      <c r="C43" s="25">
        <v>6000</v>
      </c>
      <c r="D43" s="26">
        <v>0</v>
      </c>
      <c r="E43" s="25">
        <v>6000</v>
      </c>
      <c r="F43" s="25">
        <f>SUM(947+1920+9844+10200+2000+2752)</f>
        <v>27663</v>
      </c>
      <c r="G43" s="27">
        <f t="shared" si="13"/>
        <v>33663</v>
      </c>
      <c r="H43" s="26">
        <f>SUM(6947+1920+9844+10200+2000+2752)</f>
        <v>33663</v>
      </c>
      <c r="I43" s="26">
        <v>0</v>
      </c>
      <c r="J43" s="25">
        <f>SUM(5264.11+355.01+9330.4+92.3+529.27+10647.28-170+600.41-66-0.1+1857.51+4167.12+556.43)</f>
        <v>33163.74</v>
      </c>
      <c r="K43" s="47">
        <f>5619.12+9330.4+165.34+529.27+10574.24-170+600.41-66-0.1+1894.57+4167.12+519.37</f>
        <v>33163.740000000005</v>
      </c>
      <c r="L43" s="29">
        <v>33163.74</v>
      </c>
      <c r="M43" s="18">
        <f t="shared" si="4"/>
        <v>0</v>
      </c>
      <c r="N43" s="30">
        <f t="shared" si="19"/>
        <v>499.25999999999476</v>
      </c>
      <c r="O43" s="30">
        <f>SUM(G43-H43)</f>
        <v>0</v>
      </c>
      <c r="P43" s="30">
        <f t="shared" si="14"/>
        <v>499.25999999999476</v>
      </c>
      <c r="Q43" s="33">
        <f>1582.23+118.54+1441.67+866.7+7771.46+720-0.1+1667.5</f>
        <v>14168</v>
      </c>
      <c r="R43" s="31">
        <f t="shared" si="8"/>
        <v>18995.740000000005</v>
      </c>
      <c r="S43" s="32">
        <f t="shared" si="15"/>
        <v>0.98516887977898604</v>
      </c>
      <c r="T43" s="32">
        <f t="shared" si="16"/>
        <v>0.98516887977898582</v>
      </c>
      <c r="U43" s="32">
        <f t="shared" si="17"/>
        <v>0.98516887977898604</v>
      </c>
    </row>
    <row r="44" spans="1:21" ht="16" thickBot="1" x14ac:dyDescent="0.25">
      <c r="A44" s="23">
        <v>171</v>
      </c>
      <c r="B44" s="24" t="s">
        <v>82</v>
      </c>
      <c r="C44" s="26">
        <v>0</v>
      </c>
      <c r="D44" s="26">
        <v>0</v>
      </c>
      <c r="E44" s="26">
        <v>0</v>
      </c>
      <c r="F44" s="25">
        <f>15000-5000-10000</f>
        <v>0</v>
      </c>
      <c r="G44" s="27">
        <f t="shared" si="13"/>
        <v>0</v>
      </c>
      <c r="H44" s="26">
        <f>15000-5000-10000</f>
        <v>0</v>
      </c>
      <c r="I44" s="26"/>
      <c r="J44" s="25">
        <v>0</v>
      </c>
      <c r="K44" s="47">
        <v>0</v>
      </c>
      <c r="L44" s="29">
        <v>0</v>
      </c>
      <c r="M44" s="18">
        <f t="shared" si="4"/>
        <v>0</v>
      </c>
      <c r="N44" s="30">
        <f t="shared" si="19"/>
        <v>0</v>
      </c>
      <c r="O44" s="30"/>
      <c r="P44" s="30">
        <f t="shared" si="14"/>
        <v>0</v>
      </c>
      <c r="Q44" s="33"/>
      <c r="R44" s="31">
        <f t="shared" si="8"/>
        <v>0</v>
      </c>
      <c r="S44" s="32">
        <v>0</v>
      </c>
      <c r="T44" s="32">
        <v>0</v>
      </c>
      <c r="U44" s="32">
        <v>0</v>
      </c>
    </row>
    <row r="45" spans="1:21" ht="16" thickBot="1" x14ac:dyDescent="0.25">
      <c r="A45" s="23" t="s">
        <v>83</v>
      </c>
      <c r="B45" s="24" t="s">
        <v>84</v>
      </c>
      <c r="C45" s="25">
        <v>36000</v>
      </c>
      <c r="D45" s="26">
        <v>0</v>
      </c>
      <c r="E45" s="25">
        <v>36000</v>
      </c>
      <c r="F45" s="25">
        <f>1015-500-515</f>
        <v>0</v>
      </c>
      <c r="G45" s="27">
        <f t="shared" si="13"/>
        <v>36000</v>
      </c>
      <c r="H45" s="26">
        <f>SUM(46800-10800+1015-500-515)</f>
        <v>36000</v>
      </c>
      <c r="I45" s="26">
        <v>0</v>
      </c>
      <c r="J45" s="25">
        <v>36000</v>
      </c>
      <c r="K45" s="47">
        <f>(36000)</f>
        <v>36000</v>
      </c>
      <c r="L45" s="29">
        <v>36000</v>
      </c>
      <c r="M45" s="18">
        <f t="shared" si="4"/>
        <v>0</v>
      </c>
      <c r="N45" s="30">
        <f t="shared" si="19"/>
        <v>0</v>
      </c>
      <c r="O45" s="30">
        <f t="shared" ref="O45:O53" si="20">SUM(G45-H45)</f>
        <v>0</v>
      </c>
      <c r="P45" s="30">
        <f t="shared" si="14"/>
        <v>0</v>
      </c>
      <c r="Q45" s="33">
        <f>9000+6000+3000+3000+3000+3000+3000+3000</f>
        <v>33000</v>
      </c>
      <c r="R45" s="31">
        <f t="shared" si="8"/>
        <v>3000</v>
      </c>
      <c r="S45" s="32">
        <f t="shared" si="15"/>
        <v>1</v>
      </c>
      <c r="T45" s="32">
        <f t="shared" si="16"/>
        <v>1</v>
      </c>
      <c r="U45" s="32">
        <f t="shared" si="17"/>
        <v>1</v>
      </c>
    </row>
    <row r="46" spans="1:21" ht="16" thickBot="1" x14ac:dyDescent="0.25">
      <c r="A46" s="23" t="s">
        <v>85</v>
      </c>
      <c r="B46" s="24" t="s">
        <v>86</v>
      </c>
      <c r="C46" s="25">
        <v>3000</v>
      </c>
      <c r="D46" s="26">
        <v>0</v>
      </c>
      <c r="E46" s="25">
        <v>3000</v>
      </c>
      <c r="F46" s="25">
        <f>-1000-1636</f>
        <v>-2636</v>
      </c>
      <c r="G46" s="27">
        <f t="shared" si="13"/>
        <v>364</v>
      </c>
      <c r="H46" s="26">
        <f>SUM(1500+500-1636)</f>
        <v>364</v>
      </c>
      <c r="I46" s="26">
        <v>0</v>
      </c>
      <c r="J46" s="33">
        <v>363.8</v>
      </c>
      <c r="K46" s="47">
        <v>363.8</v>
      </c>
      <c r="L46" s="29">
        <v>363.8</v>
      </c>
      <c r="M46" s="18">
        <f t="shared" si="4"/>
        <v>0</v>
      </c>
      <c r="N46" s="30">
        <f t="shared" si="19"/>
        <v>0.19999999999998863</v>
      </c>
      <c r="O46" s="30">
        <f t="shared" si="20"/>
        <v>0</v>
      </c>
      <c r="P46" s="30">
        <f t="shared" si="14"/>
        <v>0.19999999999998863</v>
      </c>
      <c r="Q46" s="33">
        <f>363.8</f>
        <v>363.8</v>
      </c>
      <c r="R46" s="31">
        <f t="shared" si="8"/>
        <v>0</v>
      </c>
      <c r="S46" s="32">
        <f t="shared" si="15"/>
        <v>0.99945054945054945</v>
      </c>
      <c r="T46" s="32">
        <f t="shared" si="16"/>
        <v>0.99945054945054945</v>
      </c>
      <c r="U46" s="32">
        <f t="shared" si="17"/>
        <v>0.99945054945054945</v>
      </c>
    </row>
    <row r="47" spans="1:21" ht="16" thickBot="1" x14ac:dyDescent="0.25">
      <c r="A47" s="34" t="s">
        <v>87</v>
      </c>
      <c r="B47" s="24" t="s">
        <v>88</v>
      </c>
      <c r="C47" s="26">
        <v>2631</v>
      </c>
      <c r="D47" s="26">
        <v>0</v>
      </c>
      <c r="E47" s="26">
        <v>2631</v>
      </c>
      <c r="F47" s="25">
        <f>-2000+4419-3000-1770</f>
        <v>-2351</v>
      </c>
      <c r="G47" s="27">
        <f t="shared" si="13"/>
        <v>280</v>
      </c>
      <c r="H47" s="26">
        <f>SUM(2631-2000+4419-3000-1770)</f>
        <v>280</v>
      </c>
      <c r="I47" s="26">
        <v>0</v>
      </c>
      <c r="J47" s="33">
        <f>95.71+17.12+138.78</f>
        <v>251.61</v>
      </c>
      <c r="K47" s="47">
        <f>95.71+17.12+166.28</f>
        <v>279.11</v>
      </c>
      <c r="L47" s="29">
        <v>279.11</v>
      </c>
      <c r="M47" s="18">
        <f t="shared" si="4"/>
        <v>0</v>
      </c>
      <c r="N47" s="30">
        <f t="shared" si="19"/>
        <v>0.88999999999998636</v>
      </c>
      <c r="O47" s="30">
        <f t="shared" si="20"/>
        <v>0</v>
      </c>
      <c r="P47" s="30">
        <f t="shared" si="14"/>
        <v>0.88999999999998636</v>
      </c>
      <c r="Q47" s="33">
        <f>74.58+95.7+64.2+17+0.11</f>
        <v>251.59000000000003</v>
      </c>
      <c r="R47" s="31">
        <f t="shared" si="8"/>
        <v>27.519999999999982</v>
      </c>
      <c r="S47" s="32">
        <f t="shared" si="15"/>
        <v>0.99682142857142864</v>
      </c>
      <c r="T47" s="32">
        <f t="shared" si="16"/>
        <v>0.89860714285714294</v>
      </c>
      <c r="U47" s="32">
        <f t="shared" si="17"/>
        <v>0.99682142857142864</v>
      </c>
    </row>
    <row r="48" spans="1:21" ht="16" thickBot="1" x14ac:dyDescent="0.25">
      <c r="A48" s="34">
        <v>185</v>
      </c>
      <c r="B48" s="24" t="s">
        <v>89</v>
      </c>
      <c r="C48" s="26">
        <v>0</v>
      </c>
      <c r="D48" s="26">
        <v>0</v>
      </c>
      <c r="E48" s="26">
        <v>0</v>
      </c>
      <c r="F48" s="25">
        <f>1945+36050-35736</f>
        <v>2259</v>
      </c>
      <c r="G48" s="27">
        <f t="shared" si="13"/>
        <v>2259</v>
      </c>
      <c r="H48" s="26">
        <f>1945+36050-35736</f>
        <v>2259</v>
      </c>
      <c r="I48" s="26">
        <v>0</v>
      </c>
      <c r="J48" s="33">
        <f>80.25+2178.66</f>
        <v>2258.91</v>
      </c>
      <c r="K48" s="47">
        <f>80.25+2178.66</f>
        <v>2258.91</v>
      </c>
      <c r="L48" s="29">
        <v>2258.91</v>
      </c>
      <c r="M48" s="18">
        <f t="shared" si="4"/>
        <v>0</v>
      </c>
      <c r="N48" s="30">
        <f t="shared" si="19"/>
        <v>9.0000000000145519E-2</v>
      </c>
      <c r="O48" s="30">
        <f t="shared" si="20"/>
        <v>0</v>
      </c>
      <c r="P48" s="30">
        <f t="shared" si="14"/>
        <v>9.0000000000145519E-2</v>
      </c>
      <c r="Q48" s="33">
        <v>80.25</v>
      </c>
      <c r="R48" s="31">
        <f t="shared" si="8"/>
        <v>2178.66</v>
      </c>
      <c r="S48" s="32">
        <f t="shared" si="15"/>
        <v>0.99996015936254978</v>
      </c>
      <c r="T48" s="32">
        <f t="shared" si="16"/>
        <v>0.99996015936254978</v>
      </c>
      <c r="U48" s="32">
        <f t="shared" si="17"/>
        <v>0.99996015936254978</v>
      </c>
    </row>
    <row r="49" spans="1:239" ht="16" thickBot="1" x14ac:dyDescent="0.25">
      <c r="A49" s="34">
        <v>192</v>
      </c>
      <c r="B49" s="24" t="s">
        <v>90</v>
      </c>
      <c r="C49" s="26">
        <v>0</v>
      </c>
      <c r="D49" s="26">
        <v>0</v>
      </c>
      <c r="E49" s="26">
        <v>0</v>
      </c>
      <c r="F49" s="25">
        <f>2000-1000-959</f>
        <v>41</v>
      </c>
      <c r="G49" s="27">
        <f t="shared" si="13"/>
        <v>41</v>
      </c>
      <c r="H49" s="26">
        <f>SUM(2000-1000-959)</f>
        <v>41</v>
      </c>
      <c r="I49" s="26">
        <v>0</v>
      </c>
      <c r="J49" s="33">
        <v>40.65</v>
      </c>
      <c r="K49" s="47">
        <v>40.65</v>
      </c>
      <c r="L49" s="29">
        <v>40.65</v>
      </c>
      <c r="M49" s="18">
        <f t="shared" si="4"/>
        <v>0</v>
      </c>
      <c r="N49" s="30">
        <f t="shared" si="19"/>
        <v>0.35000000000000142</v>
      </c>
      <c r="O49" s="30">
        <f t="shared" si="20"/>
        <v>0</v>
      </c>
      <c r="P49" s="30">
        <f t="shared" si="14"/>
        <v>0.35000000000000142</v>
      </c>
      <c r="Q49" s="33">
        <v>40.65</v>
      </c>
      <c r="R49" s="31">
        <f t="shared" si="8"/>
        <v>0</v>
      </c>
      <c r="S49" s="32">
        <f t="shared" si="15"/>
        <v>0.99146341463414633</v>
      </c>
      <c r="T49" s="32">
        <f t="shared" si="16"/>
        <v>0.99146341463414633</v>
      </c>
      <c r="U49" s="32">
        <f t="shared" si="17"/>
        <v>0.99146341463414633</v>
      </c>
    </row>
    <row r="50" spans="1:239" ht="16" thickBot="1" x14ac:dyDescent="0.25">
      <c r="A50" s="34">
        <v>195</v>
      </c>
      <c r="B50" s="24" t="s">
        <v>91</v>
      </c>
      <c r="C50" s="26">
        <v>0</v>
      </c>
      <c r="D50" s="26">
        <v>0</v>
      </c>
      <c r="E50" s="26">
        <v>0</v>
      </c>
      <c r="F50" s="25">
        <f>330-13</f>
        <v>317</v>
      </c>
      <c r="G50" s="27">
        <f t="shared" si="13"/>
        <v>317</v>
      </c>
      <c r="H50" s="26">
        <f>330-13</f>
        <v>317</v>
      </c>
      <c r="I50" s="26">
        <v>0</v>
      </c>
      <c r="J50" s="25">
        <v>317</v>
      </c>
      <c r="K50" s="28">
        <v>317</v>
      </c>
      <c r="L50" s="29">
        <v>317</v>
      </c>
      <c r="M50" s="18">
        <f t="shared" si="4"/>
        <v>0</v>
      </c>
      <c r="N50" s="30">
        <f t="shared" si="19"/>
        <v>0</v>
      </c>
      <c r="O50" s="30">
        <f t="shared" si="20"/>
        <v>0</v>
      </c>
      <c r="P50" s="30">
        <f t="shared" si="14"/>
        <v>0</v>
      </c>
      <c r="Q50" s="33">
        <v>317</v>
      </c>
      <c r="R50" s="31">
        <f t="shared" si="8"/>
        <v>0</v>
      </c>
      <c r="S50" s="32">
        <f t="shared" si="15"/>
        <v>1</v>
      </c>
      <c r="T50" s="32">
        <f t="shared" si="16"/>
        <v>1</v>
      </c>
      <c r="U50" s="32">
        <f t="shared" si="17"/>
        <v>1</v>
      </c>
    </row>
    <row r="51" spans="1:239" ht="16" thickBot="1" x14ac:dyDescent="0.25">
      <c r="A51" s="34">
        <v>196</v>
      </c>
      <c r="B51" s="24" t="s">
        <v>92</v>
      </c>
      <c r="C51" s="26">
        <v>0</v>
      </c>
      <c r="D51" s="26">
        <v>0</v>
      </c>
      <c r="E51" s="26">
        <v>0</v>
      </c>
      <c r="F51" s="25">
        <v>84</v>
      </c>
      <c r="G51" s="27">
        <f t="shared" si="13"/>
        <v>84</v>
      </c>
      <c r="H51" s="26">
        <v>84</v>
      </c>
      <c r="I51" s="26">
        <v>0</v>
      </c>
      <c r="J51" s="25">
        <f>69+15-15+15</f>
        <v>84</v>
      </c>
      <c r="K51" s="28">
        <f>69+15-15+15</f>
        <v>84</v>
      </c>
      <c r="L51" s="29">
        <v>84</v>
      </c>
      <c r="M51" s="18">
        <f t="shared" si="4"/>
        <v>0</v>
      </c>
      <c r="N51" s="30">
        <f t="shared" si="19"/>
        <v>0</v>
      </c>
      <c r="O51" s="30">
        <f t="shared" si="20"/>
        <v>0</v>
      </c>
      <c r="P51" s="30">
        <f t="shared" si="14"/>
        <v>0</v>
      </c>
      <c r="Q51" s="33">
        <f>69+15</f>
        <v>84</v>
      </c>
      <c r="R51" s="31">
        <f t="shared" si="8"/>
        <v>0</v>
      </c>
      <c r="S51" s="32">
        <f t="shared" si="15"/>
        <v>1</v>
      </c>
      <c r="T51" s="32">
        <f t="shared" si="16"/>
        <v>1</v>
      </c>
      <c r="U51" s="32">
        <f t="shared" si="17"/>
        <v>1</v>
      </c>
    </row>
    <row r="52" spans="1:239" ht="16" thickBot="1" x14ac:dyDescent="0.25">
      <c r="A52" s="23">
        <v>197</v>
      </c>
      <c r="B52" s="24" t="s">
        <v>93</v>
      </c>
      <c r="C52" s="26">
        <v>0</v>
      </c>
      <c r="D52" s="26">
        <v>0</v>
      </c>
      <c r="E52" s="26">
        <v>0</v>
      </c>
      <c r="F52" s="25">
        <f>1615-700-100</f>
        <v>815</v>
      </c>
      <c r="G52" s="27">
        <f t="shared" si="13"/>
        <v>815</v>
      </c>
      <c r="H52" s="26">
        <f>SUM(800+15+800-700-100)</f>
        <v>815</v>
      </c>
      <c r="I52" s="26">
        <v>0</v>
      </c>
      <c r="J52" s="26">
        <f>SUM(1600-800+15-15+15)</f>
        <v>815</v>
      </c>
      <c r="K52" s="47">
        <f>1600-800+15-15+15</f>
        <v>815</v>
      </c>
      <c r="L52" s="29">
        <v>815</v>
      </c>
      <c r="M52" s="18">
        <f t="shared" si="4"/>
        <v>0</v>
      </c>
      <c r="N52" s="30">
        <f t="shared" si="19"/>
        <v>0</v>
      </c>
      <c r="O52" s="30">
        <f t="shared" si="20"/>
        <v>0</v>
      </c>
      <c r="P52" s="30">
        <f t="shared" si="14"/>
        <v>0</v>
      </c>
      <c r="Q52" s="26">
        <f>800+15</f>
        <v>815</v>
      </c>
      <c r="R52" s="31">
        <f t="shared" si="8"/>
        <v>0</v>
      </c>
      <c r="S52" s="32">
        <f t="shared" si="15"/>
        <v>1</v>
      </c>
      <c r="T52" s="32">
        <f t="shared" si="16"/>
        <v>1</v>
      </c>
      <c r="U52" s="32">
        <f t="shared" si="17"/>
        <v>1</v>
      </c>
    </row>
    <row r="53" spans="1:239" ht="16" thickBot="1" x14ac:dyDescent="0.25">
      <c r="A53" s="23">
        <v>199</v>
      </c>
      <c r="B53" s="24" t="s">
        <v>94</v>
      </c>
      <c r="C53" s="26">
        <v>0</v>
      </c>
      <c r="D53" s="26">
        <v>0</v>
      </c>
      <c r="E53" s="26">
        <v>0</v>
      </c>
      <c r="F53" s="25">
        <v>79</v>
      </c>
      <c r="G53" s="27">
        <f t="shared" si="13"/>
        <v>79</v>
      </c>
      <c r="H53" s="26">
        <v>79</v>
      </c>
      <c r="I53" s="26">
        <v>0</v>
      </c>
      <c r="J53" s="33">
        <f>78.75-78.75+78.75</f>
        <v>78.75</v>
      </c>
      <c r="K53" s="47">
        <f>78.75-78.75+78.75</f>
        <v>78.75</v>
      </c>
      <c r="L53" s="29">
        <v>78.75</v>
      </c>
      <c r="M53" s="18">
        <f t="shared" si="4"/>
        <v>0</v>
      </c>
      <c r="N53" s="30">
        <f t="shared" si="19"/>
        <v>0.25</v>
      </c>
      <c r="O53" s="30">
        <f t="shared" si="20"/>
        <v>0</v>
      </c>
      <c r="P53" s="30">
        <f t="shared" si="14"/>
        <v>0.25</v>
      </c>
      <c r="Q53" s="33">
        <f>78.75</f>
        <v>78.75</v>
      </c>
      <c r="R53" s="31">
        <f t="shared" si="8"/>
        <v>0</v>
      </c>
      <c r="S53" s="32">
        <f t="shared" si="15"/>
        <v>0.99683544303797467</v>
      </c>
      <c r="T53" s="32">
        <f t="shared" si="16"/>
        <v>0.99683544303797467</v>
      </c>
      <c r="U53" s="32">
        <f t="shared" si="17"/>
        <v>0.99683544303797467</v>
      </c>
    </row>
    <row r="54" spans="1:239" s="11" customFormat="1" ht="16" thickBot="1" x14ac:dyDescent="0.25">
      <c r="A54" s="37">
        <v>2</v>
      </c>
      <c r="B54" s="38" t="s">
        <v>95</v>
      </c>
      <c r="C54" s="39">
        <f>SUM(C56:C86)</f>
        <v>54867</v>
      </c>
      <c r="D54" s="39">
        <f>SUM(D56:D86)</f>
        <v>0</v>
      </c>
      <c r="E54" s="39">
        <f>SUM(E56:E86)</f>
        <v>54867</v>
      </c>
      <c r="F54" s="39">
        <f t="shared" ref="F54:R54" si="21">SUM(F55:F86)</f>
        <v>21960</v>
      </c>
      <c r="G54" s="39">
        <f t="shared" si="21"/>
        <v>76827</v>
      </c>
      <c r="H54" s="39">
        <f t="shared" si="21"/>
        <v>76827</v>
      </c>
      <c r="I54" s="39">
        <f t="shared" si="21"/>
        <v>0</v>
      </c>
      <c r="J54" s="39">
        <f t="shared" si="21"/>
        <v>68845.919999999998</v>
      </c>
      <c r="K54" s="39">
        <f t="shared" si="21"/>
        <v>73965.039999999994</v>
      </c>
      <c r="L54" s="21">
        <v>73965.039999999994</v>
      </c>
      <c r="M54" s="18">
        <f t="shared" si="4"/>
        <v>0</v>
      </c>
      <c r="N54" s="39">
        <f t="shared" si="21"/>
        <v>2861.9600000000009</v>
      </c>
      <c r="O54" s="39">
        <f t="shared" si="21"/>
        <v>0</v>
      </c>
      <c r="P54" s="39">
        <f t="shared" si="21"/>
        <v>2861.9600000000009</v>
      </c>
      <c r="Q54" s="39">
        <f t="shared" si="21"/>
        <v>40955.379999999997</v>
      </c>
      <c r="R54" s="39">
        <f t="shared" si="21"/>
        <v>33009.659999999989</v>
      </c>
      <c r="S54" s="43">
        <f>SUM(K54/H54*100%)</f>
        <v>0.96274799224231056</v>
      </c>
      <c r="T54" s="13">
        <f>SUM(J54/G54*100%)</f>
        <v>0.89611620914522239</v>
      </c>
      <c r="U54" s="13">
        <f>SUM(K54/G54*100%)</f>
        <v>0.96274799224231056</v>
      </c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  <c r="GN54" s="44"/>
      <c r="GO54" s="44"/>
      <c r="GP54" s="44"/>
      <c r="GQ54" s="44"/>
      <c r="GR54" s="44"/>
      <c r="GS54" s="44"/>
      <c r="GT54" s="44"/>
      <c r="GU54" s="44"/>
      <c r="GV54" s="44"/>
      <c r="GW54" s="44"/>
      <c r="GX54" s="44"/>
      <c r="GY54" s="44"/>
      <c r="GZ54" s="44"/>
      <c r="HA54" s="44"/>
      <c r="HB54" s="44"/>
      <c r="HC54" s="44"/>
      <c r="HD54" s="44"/>
      <c r="HE54" s="44"/>
      <c r="HF54" s="44"/>
      <c r="HG54" s="44"/>
      <c r="HH54" s="44"/>
      <c r="HI54" s="44"/>
      <c r="HJ54" s="44"/>
      <c r="HK54" s="44"/>
      <c r="HL54" s="44"/>
      <c r="HM54" s="44"/>
      <c r="HN54" s="44"/>
      <c r="HO54" s="44"/>
      <c r="HP54" s="44"/>
      <c r="HQ54" s="44"/>
      <c r="HR54" s="44"/>
      <c r="HS54" s="44"/>
      <c r="HT54" s="44"/>
      <c r="HU54" s="44"/>
      <c r="HV54" s="44"/>
      <c r="HW54" s="44"/>
      <c r="HX54" s="44"/>
      <c r="HY54" s="44"/>
      <c r="HZ54" s="44"/>
      <c r="IA54" s="44"/>
      <c r="IB54" s="44"/>
      <c r="IC54" s="44"/>
      <c r="ID54" s="44"/>
      <c r="IE54" s="44"/>
    </row>
    <row r="55" spans="1:239" s="11" customFormat="1" ht="16" thickBot="1" x14ac:dyDescent="0.25">
      <c r="A55" s="34">
        <v>201</v>
      </c>
      <c r="B55" s="24" t="s">
        <v>96</v>
      </c>
      <c r="C55" s="26">
        <v>0</v>
      </c>
      <c r="D55" s="26">
        <v>0</v>
      </c>
      <c r="E55" s="26">
        <v>0</v>
      </c>
      <c r="F55" s="49">
        <f>1000+5200+12580</f>
        <v>18780</v>
      </c>
      <c r="G55" s="27">
        <f t="shared" ref="G55:G111" si="22">SUM(E55+F55)</f>
        <v>18780</v>
      </c>
      <c r="H55" s="49">
        <f>5200+1000+12580</f>
        <v>18780</v>
      </c>
      <c r="I55" s="49"/>
      <c r="J55" s="49">
        <f>174-120+321.95-34+0.22+3127.78+14616.2+10+322.28</f>
        <v>18418.43</v>
      </c>
      <c r="K55" s="49">
        <f>174-120+321.95-34+0.22+3134.49+14626.2+28+287.57</f>
        <v>18418.43</v>
      </c>
      <c r="L55" s="29">
        <v>18418.43</v>
      </c>
      <c r="M55" s="18">
        <f t="shared" si="4"/>
        <v>0</v>
      </c>
      <c r="N55" s="30">
        <f t="shared" ref="N55:N86" si="23">SUM(H55-K55)</f>
        <v>361.56999999999971</v>
      </c>
      <c r="O55" s="49"/>
      <c r="P55" s="30">
        <f t="shared" ref="P55:P86" si="24">SUM(-I55+N55+O55)</f>
        <v>361.56999999999971</v>
      </c>
      <c r="Q55" s="50">
        <f>54+400.17+245-0.22+400+3086.28</f>
        <v>4185.2300000000005</v>
      </c>
      <c r="R55" s="31">
        <f t="shared" ref="R55:R86" si="25">SUM(K55-Q55)</f>
        <v>14233.2</v>
      </c>
      <c r="S55" s="32">
        <f>SUM(K55/H55*100%)</f>
        <v>0.98074707135250272</v>
      </c>
      <c r="T55" s="32">
        <f>SUM(J55/G55*100%)</f>
        <v>0.98074707135250272</v>
      </c>
      <c r="U55" s="32">
        <f>SUM(K55/G55*100%)</f>
        <v>0.98074707135250272</v>
      </c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4"/>
      <c r="BK55" s="44"/>
      <c r="BL55" s="44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  <c r="GN55" s="44"/>
      <c r="GO55" s="44"/>
      <c r="GP55" s="44"/>
      <c r="GQ55" s="44"/>
      <c r="GR55" s="44"/>
      <c r="GS55" s="44"/>
      <c r="GT55" s="44"/>
      <c r="GU55" s="44"/>
      <c r="GV55" s="44"/>
      <c r="GW55" s="44"/>
      <c r="GX55" s="44"/>
      <c r="GY55" s="44"/>
      <c r="GZ55" s="44"/>
      <c r="HA55" s="44"/>
      <c r="HB55" s="44"/>
      <c r="HC55" s="44"/>
      <c r="HD55" s="44"/>
      <c r="HE55" s="44"/>
      <c r="HF55" s="44"/>
      <c r="HG55" s="44"/>
      <c r="HH55" s="44"/>
      <c r="HI55" s="44"/>
      <c r="HJ55" s="44"/>
      <c r="HK55" s="44"/>
      <c r="HL55" s="44"/>
      <c r="HM55" s="44"/>
      <c r="HN55" s="44"/>
      <c r="HO55" s="44"/>
      <c r="HP55" s="44"/>
      <c r="HQ55" s="44"/>
      <c r="HR55" s="44"/>
      <c r="HS55" s="44"/>
      <c r="HT55" s="44"/>
      <c r="HU55" s="44"/>
      <c r="HV55" s="44"/>
      <c r="HW55" s="44"/>
      <c r="HX55" s="44"/>
      <c r="HY55" s="44"/>
      <c r="HZ55" s="44"/>
      <c r="IA55" s="44"/>
      <c r="IB55" s="44"/>
      <c r="IC55" s="44"/>
      <c r="ID55" s="44"/>
      <c r="IE55" s="44"/>
    </row>
    <row r="56" spans="1:239" ht="16" thickBot="1" x14ac:dyDescent="0.25">
      <c r="A56" s="34" t="s">
        <v>97</v>
      </c>
      <c r="B56" s="24" t="s">
        <v>98</v>
      </c>
      <c r="C56" s="25">
        <v>732</v>
      </c>
      <c r="D56" s="26">
        <v>0</v>
      </c>
      <c r="E56" s="25">
        <v>732</v>
      </c>
      <c r="F56" s="25">
        <f>2461-1800+500+656</f>
        <v>1817</v>
      </c>
      <c r="G56" s="27">
        <f t="shared" si="22"/>
        <v>2549</v>
      </c>
      <c r="H56" s="26">
        <f>SUM(732-39+2500-1800+500+656)</f>
        <v>2549</v>
      </c>
      <c r="I56" s="26">
        <v>0</v>
      </c>
      <c r="J56" s="25">
        <f>SUM(693+630+70+1108.6+25.82)</f>
        <v>2527.42</v>
      </c>
      <c r="K56" s="47">
        <f>(693+630+89.82+1108.6+6)</f>
        <v>2527.42</v>
      </c>
      <c r="L56" s="29">
        <v>2527.42</v>
      </c>
      <c r="M56" s="18">
        <f t="shared" si="4"/>
        <v>0</v>
      </c>
      <c r="N56" s="30">
        <f t="shared" si="23"/>
        <v>21.579999999999927</v>
      </c>
      <c r="O56" s="30">
        <f>SUM(G56-H56)</f>
        <v>0</v>
      </c>
      <c r="P56" s="30">
        <f t="shared" si="24"/>
        <v>21.579999999999927</v>
      </c>
      <c r="Q56" s="33">
        <f>992.82</f>
        <v>992.82</v>
      </c>
      <c r="R56" s="31">
        <f t="shared" si="25"/>
        <v>1534.6</v>
      </c>
      <c r="S56" s="32">
        <f t="shared" ref="S56:S86" si="26">SUM(K56/H56*100%)</f>
        <v>0.99153393487642216</v>
      </c>
      <c r="T56" s="32">
        <f t="shared" ref="T56:T86" si="27">SUM(J56/G56*100%)</f>
        <v>0.99153393487642216</v>
      </c>
      <c r="U56" s="32">
        <f t="shared" ref="U56:U86" si="28">SUM(K56/G56*100%)</f>
        <v>0.99153393487642216</v>
      </c>
    </row>
    <row r="57" spans="1:239" ht="16" thickBot="1" x14ac:dyDescent="0.25">
      <c r="A57" s="34">
        <v>211</v>
      </c>
      <c r="B57" s="24" t="s">
        <v>99</v>
      </c>
      <c r="C57" s="26">
        <v>0</v>
      </c>
      <c r="D57" s="26">
        <v>0</v>
      </c>
      <c r="E57" s="26">
        <v>0</v>
      </c>
      <c r="F57" s="25">
        <f>39+2000-1640</f>
        <v>399</v>
      </c>
      <c r="G57" s="27">
        <f t="shared" si="22"/>
        <v>399</v>
      </c>
      <c r="H57" s="26">
        <f>39+2000-1640</f>
        <v>399</v>
      </c>
      <c r="I57" s="26">
        <v>0</v>
      </c>
      <c r="J57" s="33">
        <f>398.04</f>
        <v>398.04</v>
      </c>
      <c r="K57" s="47">
        <f>398.04</f>
        <v>398.04</v>
      </c>
      <c r="L57" s="29">
        <v>398.04</v>
      </c>
      <c r="M57" s="18">
        <f t="shared" si="4"/>
        <v>0</v>
      </c>
      <c r="N57" s="30">
        <f t="shared" si="23"/>
        <v>0.95999999999997954</v>
      </c>
      <c r="O57" s="30">
        <f>SUM(G57-H57)</f>
        <v>0</v>
      </c>
      <c r="P57" s="30">
        <f t="shared" si="24"/>
        <v>0.95999999999997954</v>
      </c>
      <c r="Q57" s="33">
        <v>0</v>
      </c>
      <c r="R57" s="31">
        <f t="shared" si="25"/>
        <v>398.04</v>
      </c>
      <c r="S57" s="32">
        <f t="shared" si="26"/>
        <v>0.99759398496240603</v>
      </c>
      <c r="T57" s="32">
        <f t="shared" si="27"/>
        <v>0.99759398496240603</v>
      </c>
      <c r="U57" s="32">
        <f t="shared" si="28"/>
        <v>0.99759398496240603</v>
      </c>
    </row>
    <row r="58" spans="1:239" ht="16" thickBot="1" x14ac:dyDescent="0.25">
      <c r="A58" s="34">
        <v>212</v>
      </c>
      <c r="B58" s="24" t="s">
        <v>100</v>
      </c>
      <c r="C58" s="26">
        <v>0</v>
      </c>
      <c r="D58" s="26">
        <v>0</v>
      </c>
      <c r="E58" s="26">
        <v>0</v>
      </c>
      <c r="F58" s="25">
        <f>55-12</f>
        <v>43</v>
      </c>
      <c r="G58" s="27">
        <f t="shared" si="22"/>
        <v>43</v>
      </c>
      <c r="H58" s="26">
        <f>55-12</f>
        <v>43</v>
      </c>
      <c r="I58" s="26">
        <v>0</v>
      </c>
      <c r="J58" s="33">
        <f>42.79</f>
        <v>42.79</v>
      </c>
      <c r="K58" s="47">
        <f>42.79</f>
        <v>42.79</v>
      </c>
      <c r="L58" s="29">
        <v>42.79</v>
      </c>
      <c r="M58" s="18">
        <f t="shared" si="4"/>
        <v>0</v>
      </c>
      <c r="N58" s="30">
        <f t="shared" si="23"/>
        <v>0.21000000000000085</v>
      </c>
      <c r="O58" s="30">
        <f>SUM(G58-H58)</f>
        <v>0</v>
      </c>
      <c r="P58" s="30">
        <f t="shared" si="24"/>
        <v>0.21000000000000085</v>
      </c>
      <c r="Q58" s="33">
        <f>42.79</f>
        <v>42.79</v>
      </c>
      <c r="R58" s="31">
        <f t="shared" si="25"/>
        <v>0</v>
      </c>
      <c r="S58" s="32">
        <f t="shared" si="26"/>
        <v>0.99511627906976741</v>
      </c>
      <c r="T58" s="32">
        <f t="shared" si="27"/>
        <v>0.99511627906976741</v>
      </c>
      <c r="U58" s="32">
        <f t="shared" si="28"/>
        <v>0.99511627906976741</v>
      </c>
    </row>
    <row r="59" spans="1:239" ht="16" thickBot="1" x14ac:dyDescent="0.25">
      <c r="A59" s="34">
        <v>214</v>
      </c>
      <c r="B59" s="24" t="s">
        <v>101</v>
      </c>
      <c r="C59" s="26">
        <v>0</v>
      </c>
      <c r="D59" s="26">
        <v>0</v>
      </c>
      <c r="E59" s="26">
        <v>0</v>
      </c>
      <c r="F59" s="26">
        <f>1000+1000-578</f>
        <v>1422</v>
      </c>
      <c r="G59" s="27">
        <f t="shared" si="22"/>
        <v>1422</v>
      </c>
      <c r="H59" s="26">
        <f>1000+1000-578</f>
        <v>1422</v>
      </c>
      <c r="I59" s="26">
        <v>0</v>
      </c>
      <c r="J59" s="26">
        <f>857.26+408+134.63</f>
        <v>1399.8899999999999</v>
      </c>
      <c r="K59" s="26">
        <f>857.26+408+134.63</f>
        <v>1399.8899999999999</v>
      </c>
      <c r="L59" s="29">
        <v>1399.89</v>
      </c>
      <c r="M59" s="18">
        <f t="shared" si="4"/>
        <v>0</v>
      </c>
      <c r="N59" s="30">
        <f t="shared" si="23"/>
        <v>22.110000000000127</v>
      </c>
      <c r="O59" s="26">
        <v>0</v>
      </c>
      <c r="P59" s="30">
        <f t="shared" si="24"/>
        <v>22.110000000000127</v>
      </c>
      <c r="Q59" s="26">
        <f>134.63</f>
        <v>134.63</v>
      </c>
      <c r="R59" s="31">
        <f t="shared" si="25"/>
        <v>1265.2599999999998</v>
      </c>
      <c r="S59" s="32">
        <f t="shared" si="26"/>
        <v>0.98445147679324885</v>
      </c>
      <c r="T59" s="32">
        <f t="shared" si="27"/>
        <v>0.98445147679324885</v>
      </c>
      <c r="U59" s="32">
        <f t="shared" si="28"/>
        <v>0.98445147679324885</v>
      </c>
    </row>
    <row r="60" spans="1:239" ht="16" thickBot="1" x14ac:dyDescent="0.25">
      <c r="A60" s="34" t="s">
        <v>102</v>
      </c>
      <c r="B60" s="24" t="s">
        <v>103</v>
      </c>
      <c r="C60" s="25">
        <v>10000</v>
      </c>
      <c r="D60" s="26">
        <v>0</v>
      </c>
      <c r="E60" s="25">
        <v>10000</v>
      </c>
      <c r="F60" s="25">
        <f>SUM(-4802-2698)</f>
        <v>-7500</v>
      </c>
      <c r="G60" s="27">
        <f t="shared" si="22"/>
        <v>2500</v>
      </c>
      <c r="H60" s="26">
        <f>SUM(5198-2698)</f>
        <v>2500</v>
      </c>
      <c r="I60" s="26">
        <v>0</v>
      </c>
      <c r="J60" s="25">
        <f>SUM(2500)</f>
        <v>2500</v>
      </c>
      <c r="K60" s="47">
        <f>(3000-500)</f>
        <v>2500</v>
      </c>
      <c r="L60" s="29">
        <v>2500</v>
      </c>
      <c r="M60" s="18">
        <f t="shared" si="4"/>
        <v>0</v>
      </c>
      <c r="N60" s="30">
        <f t="shared" si="23"/>
        <v>0</v>
      </c>
      <c r="O60" s="30">
        <f t="shared" ref="O60:O67" si="29">SUM(G60-H60)</f>
        <v>0</v>
      </c>
      <c r="P60" s="30">
        <f t="shared" si="24"/>
        <v>0</v>
      </c>
      <c r="Q60" s="33">
        <f>1231.33+325.38+421.39+0.3+353+101-0.01+67</f>
        <v>2499.3899999999994</v>
      </c>
      <c r="R60" s="31">
        <f t="shared" si="25"/>
        <v>0.61000000000058208</v>
      </c>
      <c r="S60" s="32">
        <f t="shared" si="26"/>
        <v>1</v>
      </c>
      <c r="T60" s="32">
        <f t="shared" si="27"/>
        <v>1</v>
      </c>
      <c r="U60" s="32">
        <f t="shared" si="28"/>
        <v>1</v>
      </c>
    </row>
    <row r="61" spans="1:239" ht="16" thickBot="1" x14ac:dyDescent="0.25">
      <c r="A61" s="34" t="s">
        <v>104</v>
      </c>
      <c r="B61" s="24" t="s">
        <v>105</v>
      </c>
      <c r="C61" s="25">
        <v>12120</v>
      </c>
      <c r="D61" s="26">
        <v>0</v>
      </c>
      <c r="E61" s="25">
        <v>12120</v>
      </c>
      <c r="F61" s="25">
        <f>-9620+2000-1908</f>
        <v>-9528</v>
      </c>
      <c r="G61" s="27">
        <f t="shared" si="22"/>
        <v>2592</v>
      </c>
      <c r="H61" s="26">
        <f>SUM(12120-9620+2000-1908)</f>
        <v>2592</v>
      </c>
      <c r="I61" s="26">
        <v>0</v>
      </c>
      <c r="J61" s="25">
        <f>SUM(2500+91.02)</f>
        <v>2591.02</v>
      </c>
      <c r="K61" s="47">
        <f>(3000-500+91.02)</f>
        <v>2591.02</v>
      </c>
      <c r="L61" s="29">
        <v>2591.02</v>
      </c>
      <c r="M61" s="18">
        <f t="shared" si="4"/>
        <v>0</v>
      </c>
      <c r="N61" s="30">
        <f t="shared" si="23"/>
        <v>0.98000000000001819</v>
      </c>
      <c r="O61" s="30">
        <f t="shared" si="29"/>
        <v>0</v>
      </c>
      <c r="P61" s="30">
        <f t="shared" si="24"/>
        <v>0.98000000000001819</v>
      </c>
      <c r="Q61" s="33">
        <f>702.69+160.56+168.76+225.77+149+0.06+651.45</f>
        <v>2058.29</v>
      </c>
      <c r="R61" s="31">
        <f t="shared" si="25"/>
        <v>532.73</v>
      </c>
      <c r="S61" s="32">
        <f t="shared" si="26"/>
        <v>0.99962191358024688</v>
      </c>
      <c r="T61" s="32">
        <f t="shared" si="27"/>
        <v>0.99962191358024688</v>
      </c>
      <c r="U61" s="32">
        <f t="shared" si="28"/>
        <v>0.99962191358024688</v>
      </c>
    </row>
    <row r="62" spans="1:239" ht="16" thickBot="1" x14ac:dyDescent="0.25">
      <c r="A62" s="23" t="s">
        <v>106</v>
      </c>
      <c r="B62" s="24" t="s">
        <v>107</v>
      </c>
      <c r="C62" s="25">
        <v>2117</v>
      </c>
      <c r="D62" s="26">
        <v>0</v>
      </c>
      <c r="E62" s="25">
        <v>2117</v>
      </c>
      <c r="F62" s="25">
        <f>-1500-479</f>
        <v>-1979</v>
      </c>
      <c r="G62" s="27">
        <f t="shared" si="22"/>
        <v>138</v>
      </c>
      <c r="H62" s="26">
        <f>SUM(2117-1500-479)</f>
        <v>138</v>
      </c>
      <c r="I62" s="26">
        <v>0</v>
      </c>
      <c r="J62" s="25">
        <f>SUM(47.72+49.22+40.66)</f>
        <v>137.6</v>
      </c>
      <c r="K62" s="47">
        <f>47.72+49.22+40.66</f>
        <v>137.6</v>
      </c>
      <c r="L62" s="29">
        <v>137.6</v>
      </c>
      <c r="M62" s="18">
        <f t="shared" si="4"/>
        <v>0</v>
      </c>
      <c r="N62" s="30">
        <f t="shared" si="23"/>
        <v>0.40000000000000568</v>
      </c>
      <c r="O62" s="30">
        <f t="shared" si="29"/>
        <v>0</v>
      </c>
      <c r="P62" s="30">
        <f t="shared" si="24"/>
        <v>0.40000000000000568</v>
      </c>
      <c r="Q62" s="33">
        <f>47.71+40.66+49+0.22</f>
        <v>137.59</v>
      </c>
      <c r="R62" s="31">
        <f t="shared" si="25"/>
        <v>9.9999999999909051E-3</v>
      </c>
      <c r="S62" s="32">
        <f t="shared" si="26"/>
        <v>0.99710144927536226</v>
      </c>
      <c r="T62" s="32">
        <f t="shared" si="27"/>
        <v>0.99710144927536226</v>
      </c>
      <c r="U62" s="32">
        <f t="shared" si="28"/>
        <v>0.99710144927536226</v>
      </c>
    </row>
    <row r="63" spans="1:239" ht="16" thickBot="1" x14ac:dyDescent="0.25">
      <c r="A63" s="23">
        <v>231</v>
      </c>
      <c r="B63" s="24" t="s">
        <v>108</v>
      </c>
      <c r="C63" s="26">
        <v>0</v>
      </c>
      <c r="D63" s="26">
        <v>0</v>
      </c>
      <c r="E63" s="26">
        <v>0</v>
      </c>
      <c r="F63" s="25">
        <f>3000-1000-247</f>
        <v>1753</v>
      </c>
      <c r="G63" s="27">
        <f t="shared" si="22"/>
        <v>1753</v>
      </c>
      <c r="H63" s="26">
        <f>SUM(3000-1000-247)</f>
        <v>1753</v>
      </c>
      <c r="I63" s="26">
        <v>0</v>
      </c>
      <c r="J63" s="33">
        <f>722.79+965+50</f>
        <v>1737.79</v>
      </c>
      <c r="K63" s="47">
        <f>1722.79-1000+965+50</f>
        <v>1737.79</v>
      </c>
      <c r="L63" s="29">
        <v>1737.79</v>
      </c>
      <c r="M63" s="18">
        <f t="shared" si="4"/>
        <v>0</v>
      </c>
      <c r="N63" s="30">
        <f t="shared" si="23"/>
        <v>15.210000000000036</v>
      </c>
      <c r="O63" s="30">
        <f t="shared" si="29"/>
        <v>0</v>
      </c>
      <c r="P63" s="30">
        <f t="shared" si="24"/>
        <v>15.210000000000036</v>
      </c>
      <c r="Q63" s="33">
        <f>722.79+50</f>
        <v>772.79</v>
      </c>
      <c r="R63" s="31">
        <f t="shared" si="25"/>
        <v>965</v>
      </c>
      <c r="S63" s="32">
        <f t="shared" si="26"/>
        <v>0.99132344552196228</v>
      </c>
      <c r="T63" s="32">
        <f t="shared" si="27"/>
        <v>0.99132344552196228</v>
      </c>
      <c r="U63" s="32">
        <f t="shared" si="28"/>
        <v>0.99132344552196228</v>
      </c>
    </row>
    <row r="64" spans="1:239" ht="16" thickBot="1" x14ac:dyDescent="0.25">
      <c r="A64" s="23" t="s">
        <v>109</v>
      </c>
      <c r="B64" s="24" t="s">
        <v>110</v>
      </c>
      <c r="C64" s="25">
        <v>5263</v>
      </c>
      <c r="D64" s="26">
        <v>0</v>
      </c>
      <c r="E64" s="25">
        <v>5263</v>
      </c>
      <c r="F64" s="25">
        <f>3000-2000+1000-2000-1000-1903</f>
        <v>-2903</v>
      </c>
      <c r="G64" s="27">
        <f t="shared" si="22"/>
        <v>2360</v>
      </c>
      <c r="H64" s="26">
        <f>SUM(5000-1000+1263-1000-1903)</f>
        <v>2360</v>
      </c>
      <c r="I64" s="26">
        <v>0</v>
      </c>
      <c r="J64" s="25">
        <f>SUM(326.46+1259.18+139.09+219.87+346.38)</f>
        <v>2290.98</v>
      </c>
      <c r="K64" s="47">
        <f>326.46+1259.18+139.09+219.87+346.38</f>
        <v>2290.98</v>
      </c>
      <c r="L64" s="29">
        <v>2290.98</v>
      </c>
      <c r="M64" s="18">
        <f t="shared" si="4"/>
        <v>0</v>
      </c>
      <c r="N64" s="30">
        <f t="shared" si="23"/>
        <v>69.019999999999982</v>
      </c>
      <c r="O64" s="30">
        <f t="shared" si="29"/>
        <v>0</v>
      </c>
      <c r="P64" s="30">
        <f t="shared" si="24"/>
        <v>69.019999999999982</v>
      </c>
      <c r="Q64" s="33">
        <f>522.8+494.66+160+60-0.13</f>
        <v>1237.33</v>
      </c>
      <c r="R64" s="31">
        <f t="shared" si="25"/>
        <v>1053.6500000000001</v>
      </c>
      <c r="S64" s="32">
        <f t="shared" si="26"/>
        <v>0.97075423728813559</v>
      </c>
      <c r="T64" s="32">
        <f t="shared" si="27"/>
        <v>0.97075423728813559</v>
      </c>
      <c r="U64" s="32">
        <f t="shared" si="28"/>
        <v>0.97075423728813559</v>
      </c>
    </row>
    <row r="65" spans="1:21" ht="16" thickBot="1" x14ac:dyDescent="0.25">
      <c r="A65" s="23">
        <v>239</v>
      </c>
      <c r="B65" s="24" t="s">
        <v>111</v>
      </c>
      <c r="C65" s="26">
        <v>0</v>
      </c>
      <c r="D65" s="26">
        <v>0</v>
      </c>
      <c r="E65" s="26">
        <v>0</v>
      </c>
      <c r="F65" s="25">
        <f>3187-1000-1000-829</f>
        <v>358</v>
      </c>
      <c r="G65" s="27">
        <f t="shared" si="22"/>
        <v>358</v>
      </c>
      <c r="H65" s="26">
        <f>SUM(187+3000-1000-1000-829)</f>
        <v>358</v>
      </c>
      <c r="I65" s="26">
        <v>0</v>
      </c>
      <c r="J65" s="25">
        <f>SUM(186.18+171.2)</f>
        <v>357.38</v>
      </c>
      <c r="K65" s="47">
        <f>171.2+186.18</f>
        <v>357.38</v>
      </c>
      <c r="L65" s="29">
        <v>357.38</v>
      </c>
      <c r="M65" s="18">
        <f t="shared" si="4"/>
        <v>0</v>
      </c>
      <c r="N65" s="30">
        <f t="shared" si="23"/>
        <v>0.62000000000000455</v>
      </c>
      <c r="O65" s="30">
        <f t="shared" si="29"/>
        <v>0</v>
      </c>
      <c r="P65" s="30">
        <f t="shared" si="24"/>
        <v>0.62000000000000455</v>
      </c>
      <c r="Q65" s="33">
        <f>186.18+171+0.2</f>
        <v>357.38</v>
      </c>
      <c r="R65" s="31">
        <f t="shared" si="25"/>
        <v>0</v>
      </c>
      <c r="S65" s="32">
        <f t="shared" si="26"/>
        <v>0.998268156424581</v>
      </c>
      <c r="T65" s="32">
        <f t="shared" si="27"/>
        <v>0.998268156424581</v>
      </c>
      <c r="U65" s="32">
        <f t="shared" si="28"/>
        <v>0.998268156424581</v>
      </c>
    </row>
    <row r="66" spans="1:21" ht="16" thickBot="1" x14ac:dyDescent="0.25">
      <c r="A66" s="23">
        <v>242</v>
      </c>
      <c r="B66" s="24" t="s">
        <v>112</v>
      </c>
      <c r="C66" s="26">
        <v>0</v>
      </c>
      <c r="D66" s="26">
        <v>0</v>
      </c>
      <c r="E66" s="26">
        <v>0</v>
      </c>
      <c r="F66" s="25">
        <f>260+100+1500-1103</f>
        <v>757</v>
      </c>
      <c r="G66" s="27">
        <f t="shared" si="22"/>
        <v>757</v>
      </c>
      <c r="H66" s="26">
        <f>260+100+1500-1103</f>
        <v>757</v>
      </c>
      <c r="I66" s="26">
        <v>0</v>
      </c>
      <c r="J66" s="25">
        <f>259.54+428+69.25</f>
        <v>756.79</v>
      </c>
      <c r="K66" s="47">
        <f>259.54+428+69.25</f>
        <v>756.79</v>
      </c>
      <c r="L66" s="29">
        <v>756.79</v>
      </c>
      <c r="M66" s="18">
        <f t="shared" si="4"/>
        <v>0</v>
      </c>
      <c r="N66" s="30">
        <f t="shared" si="23"/>
        <v>0.21000000000003638</v>
      </c>
      <c r="O66" s="30">
        <f t="shared" si="29"/>
        <v>0</v>
      </c>
      <c r="P66" s="30">
        <f t="shared" si="24"/>
        <v>0.21000000000003638</v>
      </c>
      <c r="Q66" s="26">
        <f>259.54+428+69.25</f>
        <v>756.79</v>
      </c>
      <c r="R66" s="31">
        <f t="shared" si="25"/>
        <v>0</v>
      </c>
      <c r="S66" s="32">
        <f t="shared" si="26"/>
        <v>0.99972258916776746</v>
      </c>
      <c r="T66" s="32">
        <f t="shared" si="27"/>
        <v>0.99972258916776746</v>
      </c>
      <c r="U66" s="32">
        <f t="shared" si="28"/>
        <v>0.99972258916776746</v>
      </c>
    </row>
    <row r="67" spans="1:21" ht="16" thickBot="1" x14ac:dyDescent="0.25">
      <c r="A67" s="23" t="s">
        <v>113</v>
      </c>
      <c r="B67" s="24" t="s">
        <v>114</v>
      </c>
      <c r="C67" s="25">
        <v>2097</v>
      </c>
      <c r="D67" s="26">
        <v>0</v>
      </c>
      <c r="E67" s="25">
        <v>2097</v>
      </c>
      <c r="F67" s="25">
        <f>35-654+83</f>
        <v>-536</v>
      </c>
      <c r="G67" s="27">
        <f t="shared" si="22"/>
        <v>1561</v>
      </c>
      <c r="H67" s="26">
        <f>SUM(132+2000-654+83)</f>
        <v>1561</v>
      </c>
      <c r="I67" s="26">
        <v>0</v>
      </c>
      <c r="J67" s="26">
        <f>SUM(130+1325.73+21.4+83.35)</f>
        <v>1560.48</v>
      </c>
      <c r="K67" s="47">
        <f>130+1325.73+21.4+83.35</f>
        <v>1560.48</v>
      </c>
      <c r="L67" s="29">
        <v>1560.48</v>
      </c>
      <c r="M67" s="18">
        <f t="shared" si="4"/>
        <v>0</v>
      </c>
      <c r="N67" s="30">
        <f t="shared" si="23"/>
        <v>0.51999999999998181</v>
      </c>
      <c r="O67" s="30">
        <f t="shared" si="29"/>
        <v>0</v>
      </c>
      <c r="P67" s="30">
        <f t="shared" si="24"/>
        <v>0.51999999999998181</v>
      </c>
      <c r="Q67" s="33">
        <f>130+1325.73</f>
        <v>1455.73</v>
      </c>
      <c r="R67" s="31">
        <f t="shared" si="25"/>
        <v>104.75</v>
      </c>
      <c r="S67" s="32">
        <f t="shared" si="26"/>
        <v>0.99966688020499683</v>
      </c>
      <c r="T67" s="32">
        <f t="shared" si="27"/>
        <v>0.99966688020499683</v>
      </c>
      <c r="U67" s="32">
        <f t="shared" si="28"/>
        <v>0.99966688020499683</v>
      </c>
    </row>
    <row r="68" spans="1:21" ht="16" thickBot="1" x14ac:dyDescent="0.25">
      <c r="A68" s="23">
        <v>244</v>
      </c>
      <c r="B68" s="24" t="s">
        <v>115</v>
      </c>
      <c r="C68" s="25">
        <v>0</v>
      </c>
      <c r="D68" s="26">
        <v>0</v>
      </c>
      <c r="E68" s="25">
        <v>0</v>
      </c>
      <c r="F68" s="25">
        <f>100-52</f>
        <v>48</v>
      </c>
      <c r="G68" s="27">
        <f t="shared" si="22"/>
        <v>48</v>
      </c>
      <c r="H68" s="26">
        <f>100-52</f>
        <v>48</v>
      </c>
      <c r="I68" s="26"/>
      <c r="J68" s="26">
        <f>45.8</f>
        <v>45.8</v>
      </c>
      <c r="K68" s="47">
        <f>24+21.8</f>
        <v>45.8</v>
      </c>
      <c r="L68" s="29">
        <v>45.8</v>
      </c>
      <c r="M68" s="18">
        <f t="shared" si="4"/>
        <v>0</v>
      </c>
      <c r="N68" s="30">
        <f t="shared" si="23"/>
        <v>2.2000000000000028</v>
      </c>
      <c r="O68" s="30"/>
      <c r="P68" s="30">
        <f t="shared" si="24"/>
        <v>2.2000000000000028</v>
      </c>
      <c r="Q68" s="33">
        <f>45.8</f>
        <v>45.8</v>
      </c>
      <c r="R68" s="31">
        <f t="shared" si="25"/>
        <v>0</v>
      </c>
      <c r="S68" s="32">
        <f t="shared" si="26"/>
        <v>0.95416666666666661</v>
      </c>
      <c r="T68" s="32">
        <f t="shared" si="27"/>
        <v>0.95416666666666661</v>
      </c>
      <c r="U68" s="32">
        <f t="shared" si="28"/>
        <v>0.95416666666666661</v>
      </c>
    </row>
    <row r="69" spans="1:21" ht="16" thickBot="1" x14ac:dyDescent="0.25">
      <c r="A69" s="34" t="s">
        <v>116</v>
      </c>
      <c r="B69" s="24" t="s">
        <v>117</v>
      </c>
      <c r="C69" s="26">
        <v>0</v>
      </c>
      <c r="D69" s="26">
        <v>0</v>
      </c>
      <c r="E69" s="26">
        <v>0</v>
      </c>
      <c r="F69" s="25">
        <f>798+1570+1500-698+230</f>
        <v>3400</v>
      </c>
      <c r="G69" s="27">
        <f t="shared" si="22"/>
        <v>3400</v>
      </c>
      <c r="H69" s="26">
        <f>SUM(766+32+1570+1500-698+230)</f>
        <v>3400</v>
      </c>
      <c r="I69" s="26">
        <v>0</v>
      </c>
      <c r="J69" s="25">
        <f>SUM(765.8+31.95+1164.25-1104.65+935.05+12.84+368.93+51.72)</f>
        <v>2225.8899999999994</v>
      </c>
      <c r="K69" s="47">
        <f>797.75+1164.25+59.6+935.05+12.84+22.92+368.93+28.8</f>
        <v>3390.14</v>
      </c>
      <c r="L69" s="29">
        <v>3390.14</v>
      </c>
      <c r="M69" s="18">
        <f t="shared" si="4"/>
        <v>0</v>
      </c>
      <c r="N69" s="30">
        <f t="shared" si="23"/>
        <v>9.8600000000001273</v>
      </c>
      <c r="O69" s="30">
        <f>SUM(G69-H69)</f>
        <v>0</v>
      </c>
      <c r="P69" s="30">
        <f t="shared" si="24"/>
        <v>9.8600000000001273</v>
      </c>
      <c r="Q69" s="33">
        <f>31.95+765.8+59.6+41+698.24+51.72</f>
        <v>1648.3100000000002</v>
      </c>
      <c r="R69" s="31">
        <f t="shared" si="25"/>
        <v>1741.8299999999997</v>
      </c>
      <c r="S69" s="32">
        <f t="shared" si="26"/>
        <v>0.99709999999999999</v>
      </c>
      <c r="T69" s="32">
        <f t="shared" si="27"/>
        <v>0.65467352941176449</v>
      </c>
      <c r="U69" s="32">
        <f t="shared" si="28"/>
        <v>0.99709999999999999</v>
      </c>
    </row>
    <row r="70" spans="1:21" ht="16" thickBot="1" x14ac:dyDescent="0.25">
      <c r="A70" s="34">
        <v>252</v>
      </c>
      <c r="B70" s="24" t="s">
        <v>118</v>
      </c>
      <c r="C70" s="26">
        <v>0</v>
      </c>
      <c r="D70" s="26">
        <v>0</v>
      </c>
      <c r="E70" s="26">
        <v>0</v>
      </c>
      <c r="F70" s="25">
        <f>300-286</f>
        <v>14</v>
      </c>
      <c r="G70" s="27">
        <f t="shared" si="22"/>
        <v>14</v>
      </c>
      <c r="H70" s="26">
        <f>300-286</f>
        <v>14</v>
      </c>
      <c r="I70" s="26"/>
      <c r="J70" s="25">
        <f>13.91</f>
        <v>13.91</v>
      </c>
      <c r="K70" s="47">
        <f>13.91</f>
        <v>13.91</v>
      </c>
      <c r="L70" s="29">
        <v>13.91</v>
      </c>
      <c r="M70" s="18">
        <f t="shared" si="4"/>
        <v>0</v>
      </c>
      <c r="N70" s="30">
        <f t="shared" si="23"/>
        <v>8.9999999999999858E-2</v>
      </c>
      <c r="O70" s="30"/>
      <c r="P70" s="30">
        <f t="shared" si="24"/>
        <v>8.9999999999999858E-2</v>
      </c>
      <c r="Q70" s="33">
        <v>0</v>
      </c>
      <c r="R70" s="31">
        <f t="shared" si="25"/>
        <v>13.91</v>
      </c>
      <c r="S70" s="32">
        <f t="shared" si="26"/>
        <v>0.99357142857142855</v>
      </c>
      <c r="T70" s="32">
        <f t="shared" si="27"/>
        <v>0.99357142857142855</v>
      </c>
      <c r="U70" s="32">
        <f t="shared" si="28"/>
        <v>0.99357142857142855</v>
      </c>
    </row>
    <row r="71" spans="1:21" ht="16" thickBot="1" x14ac:dyDescent="0.25">
      <c r="A71" s="23" t="s">
        <v>119</v>
      </c>
      <c r="B71" s="24" t="s">
        <v>120</v>
      </c>
      <c r="C71" s="25">
        <v>280</v>
      </c>
      <c r="D71" s="26">
        <v>0</v>
      </c>
      <c r="E71" s="25">
        <v>280</v>
      </c>
      <c r="F71" s="25">
        <f>10-136</f>
        <v>-126</v>
      </c>
      <c r="G71" s="27">
        <f t="shared" si="22"/>
        <v>154</v>
      </c>
      <c r="H71" s="26">
        <f>SUM(10+280-136)</f>
        <v>154</v>
      </c>
      <c r="I71" s="26">
        <v>0</v>
      </c>
      <c r="J71" s="25">
        <f>SUM(9.16+144.45)</f>
        <v>153.60999999999999</v>
      </c>
      <c r="K71" s="47">
        <f>9.16+144.45</f>
        <v>153.60999999999999</v>
      </c>
      <c r="L71" s="29">
        <v>153.61000000000001</v>
      </c>
      <c r="M71" s="18">
        <f t="shared" si="4"/>
        <v>0</v>
      </c>
      <c r="N71" s="30">
        <f t="shared" si="23"/>
        <v>0.39000000000001478</v>
      </c>
      <c r="O71" s="30">
        <f t="shared" ref="O71:O86" si="30">SUM(G71-H71)</f>
        <v>0</v>
      </c>
      <c r="P71" s="30">
        <f t="shared" si="24"/>
        <v>0.39000000000001478</v>
      </c>
      <c r="Q71" s="33">
        <f>9.15+144.45</f>
        <v>153.6</v>
      </c>
      <c r="R71" s="31">
        <f t="shared" si="25"/>
        <v>9.9999999999909051E-3</v>
      </c>
      <c r="S71" s="32">
        <f t="shared" si="26"/>
        <v>0.99746753246753239</v>
      </c>
      <c r="T71" s="32">
        <f t="shared" si="27"/>
        <v>0.99746753246753239</v>
      </c>
      <c r="U71" s="32">
        <f t="shared" si="28"/>
        <v>0.99746753246753239</v>
      </c>
    </row>
    <row r="72" spans="1:21" ht="16" thickBot="1" x14ac:dyDescent="0.25">
      <c r="A72" s="23" t="s">
        <v>121</v>
      </c>
      <c r="B72" s="24" t="s">
        <v>122</v>
      </c>
      <c r="C72" s="25">
        <v>1000</v>
      </c>
      <c r="D72" s="26">
        <v>0</v>
      </c>
      <c r="E72" s="25">
        <v>1000</v>
      </c>
      <c r="F72" s="25">
        <f>1100-986</f>
        <v>114</v>
      </c>
      <c r="G72" s="27">
        <f t="shared" si="22"/>
        <v>1114</v>
      </c>
      <c r="H72" s="26">
        <f>500+1600-986</f>
        <v>1114</v>
      </c>
      <c r="I72" s="26">
        <v>0</v>
      </c>
      <c r="J72" s="25">
        <f>20.32+989.25+41.09+42.83</f>
        <v>1093.49</v>
      </c>
      <c r="K72" s="47">
        <f>40.64+989.25+41.09+42.83</f>
        <v>1113.81</v>
      </c>
      <c r="L72" s="29">
        <v>1113.81</v>
      </c>
      <c r="M72" s="18">
        <f t="shared" si="4"/>
        <v>0</v>
      </c>
      <c r="N72" s="30">
        <f t="shared" si="23"/>
        <v>0.19000000000005457</v>
      </c>
      <c r="O72" s="30">
        <f t="shared" si="30"/>
        <v>0</v>
      </c>
      <c r="P72" s="30">
        <f t="shared" si="24"/>
        <v>0.19000000000005457</v>
      </c>
      <c r="Q72" s="33">
        <f>20.32+824.15+165.1+84-0.09</f>
        <v>1093.4800000000002</v>
      </c>
      <c r="R72" s="31">
        <f t="shared" si="25"/>
        <v>20.3299999999997</v>
      </c>
      <c r="S72" s="32">
        <f t="shared" si="26"/>
        <v>0.99982944344703761</v>
      </c>
      <c r="T72" s="32">
        <f t="shared" si="27"/>
        <v>0.98158886894075403</v>
      </c>
      <c r="U72" s="32">
        <f t="shared" si="28"/>
        <v>0.99982944344703761</v>
      </c>
    </row>
    <row r="73" spans="1:21" ht="16" thickBot="1" x14ac:dyDescent="0.25">
      <c r="A73" s="23" t="s">
        <v>123</v>
      </c>
      <c r="B73" s="24" t="s">
        <v>124</v>
      </c>
      <c r="C73" s="25">
        <v>1000</v>
      </c>
      <c r="D73" s="26">
        <v>0</v>
      </c>
      <c r="E73" s="25">
        <v>1000</v>
      </c>
      <c r="F73" s="25">
        <f>2000-76+1000-208+188</f>
        <v>2904</v>
      </c>
      <c r="G73" s="27">
        <f t="shared" si="22"/>
        <v>3904</v>
      </c>
      <c r="H73" s="26">
        <f>SUM(2000-76+500+1500-208+188)</f>
        <v>3904</v>
      </c>
      <c r="I73" s="26">
        <v>0</v>
      </c>
      <c r="J73" s="25">
        <f>106.93+3431.17+177.76+187.34</f>
        <v>3903.2</v>
      </c>
      <c r="K73" s="47">
        <f>106.93+3431.17+177.76+187.34</f>
        <v>3903.2</v>
      </c>
      <c r="L73" s="29">
        <v>3903.2</v>
      </c>
      <c r="M73" s="18">
        <f t="shared" si="4"/>
        <v>0</v>
      </c>
      <c r="N73" s="30">
        <f t="shared" si="23"/>
        <v>0.8000000000001819</v>
      </c>
      <c r="O73" s="30">
        <f t="shared" si="30"/>
        <v>0</v>
      </c>
      <c r="P73" s="30">
        <f t="shared" si="24"/>
        <v>0.8000000000001819</v>
      </c>
      <c r="Q73" s="33">
        <f>106.93+145.25+3259.16+205-0.49+187.34</f>
        <v>3903.19</v>
      </c>
      <c r="R73" s="31">
        <f t="shared" si="25"/>
        <v>9.9999999997635314E-3</v>
      </c>
      <c r="S73" s="32">
        <f t="shared" si="26"/>
        <v>0.99979508196721312</v>
      </c>
      <c r="T73" s="32">
        <f t="shared" si="27"/>
        <v>0.99979508196721312</v>
      </c>
      <c r="U73" s="32">
        <f t="shared" si="28"/>
        <v>0.99979508196721312</v>
      </c>
    </row>
    <row r="74" spans="1:21" ht="16" thickBot="1" x14ac:dyDescent="0.25">
      <c r="A74" s="23">
        <v>256</v>
      </c>
      <c r="B74" s="24" t="s">
        <v>125</v>
      </c>
      <c r="C74" s="26">
        <v>0</v>
      </c>
      <c r="D74" s="26">
        <v>0</v>
      </c>
      <c r="E74" s="26">
        <v>0</v>
      </c>
      <c r="F74" s="25">
        <f>2035-1000-300-124+2075</f>
        <v>2686</v>
      </c>
      <c r="G74" s="27">
        <f t="shared" si="22"/>
        <v>2686</v>
      </c>
      <c r="H74" s="26">
        <f>SUM(2035-1000-300-124+2075)</f>
        <v>2686</v>
      </c>
      <c r="I74" s="26">
        <v>0</v>
      </c>
      <c r="J74" s="25">
        <f>SUM(34.49+3.51+551.05+11.78+6.41+1763.1)</f>
        <v>2370.3399999999997</v>
      </c>
      <c r="K74" s="47">
        <f>34.49+7.02+551.05+11.78+6.41+1763.1</f>
        <v>2373.85</v>
      </c>
      <c r="L74" s="29">
        <v>2373.85</v>
      </c>
      <c r="M74" s="18">
        <f t="shared" ref="M74:M111" si="31">L74-K74</f>
        <v>0</v>
      </c>
      <c r="N74" s="30">
        <f t="shared" si="23"/>
        <v>312.15000000000009</v>
      </c>
      <c r="O74" s="30">
        <f t="shared" si="30"/>
        <v>0</v>
      </c>
      <c r="P74" s="30">
        <f t="shared" si="24"/>
        <v>312.15000000000009</v>
      </c>
      <c r="Q74" s="33">
        <f>34.49+3.51+551.05+11-0.3</f>
        <v>599.75</v>
      </c>
      <c r="R74" s="31">
        <f t="shared" si="25"/>
        <v>1774.1</v>
      </c>
      <c r="S74" s="32">
        <f t="shared" si="26"/>
        <v>0.88378629932985853</v>
      </c>
      <c r="T74" s="32">
        <f t="shared" si="27"/>
        <v>0.88247952345495151</v>
      </c>
      <c r="U74" s="32">
        <f t="shared" si="28"/>
        <v>0.88378629932985853</v>
      </c>
    </row>
    <row r="75" spans="1:21" ht="16" thickBot="1" x14ac:dyDescent="0.25">
      <c r="A75" s="23">
        <v>259</v>
      </c>
      <c r="B75" s="24" t="s">
        <v>126</v>
      </c>
      <c r="C75" s="25">
        <v>1000</v>
      </c>
      <c r="D75" s="26">
        <v>0</v>
      </c>
      <c r="E75" s="25">
        <v>1000</v>
      </c>
      <c r="F75" s="25">
        <f>100-297+55</f>
        <v>-142</v>
      </c>
      <c r="G75" s="27">
        <f t="shared" si="22"/>
        <v>858</v>
      </c>
      <c r="H75" s="26">
        <f>SUM(300-300+100+500+500-297+55)</f>
        <v>858</v>
      </c>
      <c r="I75" s="26">
        <v>0</v>
      </c>
      <c r="J75" s="25">
        <f>SUM(98.23+391.53+312.63+48.15)</f>
        <v>850.54</v>
      </c>
      <c r="K75" s="47">
        <f>98.23+391.53+312.63+48.15</f>
        <v>850.54</v>
      </c>
      <c r="L75" s="29">
        <v>850.54</v>
      </c>
      <c r="M75" s="18">
        <f t="shared" si="31"/>
        <v>0</v>
      </c>
      <c r="N75" s="30">
        <f t="shared" si="23"/>
        <v>7.4600000000000364</v>
      </c>
      <c r="O75" s="30">
        <f t="shared" si="30"/>
        <v>0</v>
      </c>
      <c r="P75" s="30">
        <f t="shared" si="24"/>
        <v>7.4600000000000364</v>
      </c>
      <c r="Q75" s="26">
        <f>98.23+150.57+240.96+88-0.07</f>
        <v>577.68999999999994</v>
      </c>
      <c r="R75" s="31">
        <f t="shared" si="25"/>
        <v>272.85000000000002</v>
      </c>
      <c r="S75" s="32">
        <f t="shared" si="26"/>
        <v>0.99130536130536129</v>
      </c>
      <c r="T75" s="32">
        <f t="shared" si="27"/>
        <v>0.99130536130536129</v>
      </c>
      <c r="U75" s="32">
        <f t="shared" si="28"/>
        <v>0.99130536130536129</v>
      </c>
    </row>
    <row r="76" spans="1:21" ht="16" thickBot="1" x14ac:dyDescent="0.25">
      <c r="A76" s="23" t="s">
        <v>127</v>
      </c>
      <c r="B76" s="24" t="s">
        <v>128</v>
      </c>
      <c r="C76" s="26">
        <v>0</v>
      </c>
      <c r="D76" s="26">
        <v>0</v>
      </c>
      <c r="E76" s="26">
        <v>0</v>
      </c>
      <c r="F76" s="25">
        <v>792</v>
      </c>
      <c r="G76" s="27">
        <f t="shared" si="22"/>
        <v>792</v>
      </c>
      <c r="H76" s="26">
        <v>792</v>
      </c>
      <c r="I76" s="26">
        <v>0</v>
      </c>
      <c r="J76" s="25">
        <f>SUM(791.8)</f>
        <v>791.8</v>
      </c>
      <c r="K76" s="47">
        <f>(791.8)</f>
        <v>791.8</v>
      </c>
      <c r="L76" s="29">
        <v>791.8</v>
      </c>
      <c r="M76" s="18">
        <f t="shared" si="31"/>
        <v>0</v>
      </c>
      <c r="N76" s="30">
        <f t="shared" si="23"/>
        <v>0.20000000000004547</v>
      </c>
      <c r="O76" s="30">
        <f t="shared" si="30"/>
        <v>0</v>
      </c>
      <c r="P76" s="30">
        <f t="shared" si="24"/>
        <v>0.20000000000004547</v>
      </c>
      <c r="Q76" s="33">
        <v>791.8</v>
      </c>
      <c r="R76" s="31">
        <f t="shared" si="25"/>
        <v>0</v>
      </c>
      <c r="S76" s="32">
        <f t="shared" si="26"/>
        <v>0.99974747474747472</v>
      </c>
      <c r="T76" s="32">
        <f t="shared" si="27"/>
        <v>0.99974747474747472</v>
      </c>
      <c r="U76" s="32">
        <f t="shared" si="28"/>
        <v>0.99974747474747472</v>
      </c>
    </row>
    <row r="77" spans="1:21" ht="16" thickBot="1" x14ac:dyDescent="0.25">
      <c r="A77" s="23">
        <v>262</v>
      </c>
      <c r="B77" s="24" t="s">
        <v>129</v>
      </c>
      <c r="C77" s="26">
        <v>0</v>
      </c>
      <c r="D77" s="26">
        <v>0</v>
      </c>
      <c r="E77" s="26">
        <v>0</v>
      </c>
      <c r="F77" s="25">
        <f>267+200-247</f>
        <v>220</v>
      </c>
      <c r="G77" s="27">
        <f t="shared" si="22"/>
        <v>220</v>
      </c>
      <c r="H77" s="26">
        <f>267+200-247</f>
        <v>220</v>
      </c>
      <c r="I77" s="26">
        <v>0</v>
      </c>
      <c r="J77" s="33">
        <f>10.67+159.91+9.63+28.57</f>
        <v>208.77999999999997</v>
      </c>
      <c r="K77" s="47">
        <f>21.34+159.91+9.63+28.57</f>
        <v>219.45</v>
      </c>
      <c r="L77" s="29">
        <v>219.45</v>
      </c>
      <c r="M77" s="18">
        <f t="shared" si="31"/>
        <v>0</v>
      </c>
      <c r="N77" s="30">
        <f t="shared" si="23"/>
        <v>0.55000000000001137</v>
      </c>
      <c r="O77" s="30">
        <f t="shared" si="30"/>
        <v>0</v>
      </c>
      <c r="P77" s="30">
        <f t="shared" si="24"/>
        <v>0.55000000000001137</v>
      </c>
      <c r="Q77" s="33">
        <f>10.67+159.91</f>
        <v>170.57999999999998</v>
      </c>
      <c r="R77" s="31">
        <f t="shared" si="25"/>
        <v>48.870000000000005</v>
      </c>
      <c r="S77" s="32">
        <f t="shared" si="26"/>
        <v>0.99749999999999994</v>
      </c>
      <c r="T77" s="32">
        <f t="shared" si="27"/>
        <v>0.94899999999999984</v>
      </c>
      <c r="U77" s="32">
        <f t="shared" si="28"/>
        <v>0.99749999999999994</v>
      </c>
    </row>
    <row r="78" spans="1:21" ht="16" thickBot="1" x14ac:dyDescent="0.25">
      <c r="A78" s="34" t="s">
        <v>130</v>
      </c>
      <c r="B78" s="24" t="s">
        <v>131</v>
      </c>
      <c r="C78" s="25">
        <v>2501</v>
      </c>
      <c r="D78" s="26">
        <v>0</v>
      </c>
      <c r="E78" s="25">
        <v>2501</v>
      </c>
      <c r="F78" s="25">
        <f>6000-5000-500-2160</f>
        <v>-1660</v>
      </c>
      <c r="G78" s="27">
        <f t="shared" si="22"/>
        <v>841</v>
      </c>
      <c r="H78" s="26">
        <f>SUM(6501+499-3499-500-2160)</f>
        <v>841</v>
      </c>
      <c r="I78" s="26">
        <v>0</v>
      </c>
      <c r="J78" s="25">
        <f>157.33+359.09-91.59+320.14+95.23</f>
        <v>840.19999999999993</v>
      </c>
      <c r="K78" s="47">
        <f>157.33+359.09-91.59+320.14+95.23</f>
        <v>840.19999999999993</v>
      </c>
      <c r="L78" s="29">
        <v>840.2</v>
      </c>
      <c r="M78" s="18">
        <f t="shared" si="31"/>
        <v>0</v>
      </c>
      <c r="N78" s="30">
        <f t="shared" si="23"/>
        <v>0.80000000000006821</v>
      </c>
      <c r="O78" s="30">
        <f t="shared" si="30"/>
        <v>0</v>
      </c>
      <c r="P78" s="30">
        <f t="shared" si="24"/>
        <v>0.80000000000006821</v>
      </c>
      <c r="Q78" s="33">
        <f>67.36+267.5+213.66</f>
        <v>548.52</v>
      </c>
      <c r="R78" s="31">
        <f t="shared" si="25"/>
        <v>291.67999999999995</v>
      </c>
      <c r="S78" s="32">
        <f t="shared" si="26"/>
        <v>0.99904875148632577</v>
      </c>
      <c r="T78" s="32">
        <f t="shared" si="27"/>
        <v>0.99904875148632577</v>
      </c>
      <c r="U78" s="32">
        <f t="shared" si="28"/>
        <v>0.99904875148632577</v>
      </c>
    </row>
    <row r="79" spans="1:21" ht="16" thickBot="1" x14ac:dyDescent="0.25">
      <c r="A79" s="23" t="s">
        <v>132</v>
      </c>
      <c r="B79" s="24" t="s">
        <v>133</v>
      </c>
      <c r="C79" s="26">
        <v>0</v>
      </c>
      <c r="D79" s="26">
        <v>0</v>
      </c>
      <c r="E79" s="26">
        <v>0</v>
      </c>
      <c r="F79" s="25">
        <f>3259-1100+500+6500+181</f>
        <v>9340</v>
      </c>
      <c r="G79" s="27">
        <f t="shared" si="22"/>
        <v>9340</v>
      </c>
      <c r="H79" s="26">
        <f>SUM(553+2706-1100+500+500+6000+181)</f>
        <v>9340</v>
      </c>
      <c r="I79" s="26">
        <v>0</v>
      </c>
      <c r="J79" s="25">
        <f>SUM(552.12+205.65+58.56+1296.45+59.4+3932.25+2554.3+86.55)</f>
        <v>8745.2799999999988</v>
      </c>
      <c r="K79" s="47">
        <f>757.77+58.56+1296.45+59.4+3940.81+2554.3+77.99</f>
        <v>8745.2800000000007</v>
      </c>
      <c r="L79" s="29">
        <v>8745.2800000000007</v>
      </c>
      <c r="M79" s="18">
        <f t="shared" si="31"/>
        <v>0</v>
      </c>
      <c r="N79" s="30">
        <f t="shared" si="23"/>
        <v>594.71999999999935</v>
      </c>
      <c r="O79" s="30">
        <f t="shared" si="30"/>
        <v>0</v>
      </c>
      <c r="P79" s="30">
        <f t="shared" si="24"/>
        <v>594.71999999999935</v>
      </c>
      <c r="Q79" s="33">
        <f>615.25+70.62+130.46+7.66+496.32+73-0.09+5215.8</f>
        <v>6609.02</v>
      </c>
      <c r="R79" s="31">
        <f t="shared" si="25"/>
        <v>2136.2600000000002</v>
      </c>
      <c r="S79" s="32">
        <f t="shared" si="26"/>
        <v>0.93632548179871522</v>
      </c>
      <c r="T79" s="32">
        <f t="shared" si="27"/>
        <v>0.93632548179871511</v>
      </c>
      <c r="U79" s="32">
        <f t="shared" si="28"/>
        <v>0.93632548179871522</v>
      </c>
    </row>
    <row r="80" spans="1:21" ht="16" thickBot="1" x14ac:dyDescent="0.25">
      <c r="A80" s="23" t="s">
        <v>134</v>
      </c>
      <c r="B80" s="24" t="s">
        <v>135</v>
      </c>
      <c r="C80" s="25">
        <v>1000</v>
      </c>
      <c r="D80" s="26">
        <v>0</v>
      </c>
      <c r="E80" s="25">
        <v>1000</v>
      </c>
      <c r="F80" s="25">
        <f>200-300-200-700+38</f>
        <v>-962</v>
      </c>
      <c r="G80" s="27">
        <f t="shared" si="22"/>
        <v>38</v>
      </c>
      <c r="H80" s="26">
        <f>38</f>
        <v>38</v>
      </c>
      <c r="I80" s="26">
        <v>0</v>
      </c>
      <c r="J80" s="25">
        <f>17.5+19.23</f>
        <v>36.730000000000004</v>
      </c>
      <c r="K80" s="47">
        <f>17.5+19.23</f>
        <v>36.730000000000004</v>
      </c>
      <c r="L80" s="29">
        <v>36.729999999999997</v>
      </c>
      <c r="M80" s="18">
        <f t="shared" si="31"/>
        <v>0</v>
      </c>
      <c r="N80" s="30">
        <f t="shared" si="23"/>
        <v>1.269999999999996</v>
      </c>
      <c r="O80" s="30">
        <f t="shared" si="30"/>
        <v>0</v>
      </c>
      <c r="P80" s="30">
        <f t="shared" si="24"/>
        <v>1.269999999999996</v>
      </c>
      <c r="Q80" s="33">
        <f>19.23</f>
        <v>19.23</v>
      </c>
      <c r="R80" s="31">
        <f t="shared" si="25"/>
        <v>17.500000000000004</v>
      </c>
      <c r="S80" s="32">
        <f t="shared" si="26"/>
        <v>0.9665789473684212</v>
      </c>
      <c r="T80" s="32">
        <f t="shared" si="27"/>
        <v>0.9665789473684212</v>
      </c>
      <c r="U80" s="32">
        <f t="shared" si="28"/>
        <v>0.9665789473684212</v>
      </c>
    </row>
    <row r="81" spans="1:46" ht="16" thickBot="1" x14ac:dyDescent="0.25">
      <c r="A81" s="23" t="s">
        <v>136</v>
      </c>
      <c r="B81" s="24" t="s">
        <v>137</v>
      </c>
      <c r="C81" s="25">
        <v>237</v>
      </c>
      <c r="D81" s="26">
        <v>0</v>
      </c>
      <c r="E81" s="25">
        <v>237</v>
      </c>
      <c r="F81" s="25">
        <f>171+2000+1500+1000+831</f>
        <v>5502</v>
      </c>
      <c r="G81" s="27">
        <f t="shared" si="22"/>
        <v>5739</v>
      </c>
      <c r="H81" s="26">
        <f>SUM(237+171+2000+1500+1000+831)</f>
        <v>5739</v>
      </c>
      <c r="I81" s="26">
        <v>0</v>
      </c>
      <c r="J81" s="25">
        <f>406.19+1310.94-769.09+1049.3+105.92-26-0.48+26.48+768.38+452.88</f>
        <v>3324.5200000000004</v>
      </c>
      <c r="K81" s="47">
        <f>406.19+1310.94+541.85+1049.3+105.92-26-0.48+29.25+768.38+982.7</f>
        <v>5168.0499999999993</v>
      </c>
      <c r="L81" s="29">
        <v>5168.05</v>
      </c>
      <c r="M81" s="18">
        <f t="shared" si="31"/>
        <v>0</v>
      </c>
      <c r="N81" s="30">
        <f t="shared" si="23"/>
        <v>570.95000000000073</v>
      </c>
      <c r="O81" s="30">
        <f t="shared" si="30"/>
        <v>0</v>
      </c>
      <c r="P81" s="30">
        <f t="shared" si="24"/>
        <v>570.95000000000073</v>
      </c>
      <c r="Q81" s="33">
        <f>406.19+541.85+862.74+26+0.48+678.25</f>
        <v>2515.5100000000002</v>
      </c>
      <c r="R81" s="31">
        <f t="shared" si="25"/>
        <v>2652.5399999999991</v>
      </c>
      <c r="S81" s="32">
        <f t="shared" si="26"/>
        <v>0.9005140268339431</v>
      </c>
      <c r="T81" s="32">
        <f t="shared" si="27"/>
        <v>0.57928558982401124</v>
      </c>
      <c r="U81" s="32">
        <f t="shared" si="28"/>
        <v>0.9005140268339431</v>
      </c>
    </row>
    <row r="82" spans="1:46" ht="16" thickBot="1" x14ac:dyDescent="0.25">
      <c r="A82" s="23" t="s">
        <v>138</v>
      </c>
      <c r="B82" s="24" t="s">
        <v>139</v>
      </c>
      <c r="C82" s="25">
        <v>6000</v>
      </c>
      <c r="D82" s="26">
        <v>0</v>
      </c>
      <c r="E82" s="25">
        <v>6000</v>
      </c>
      <c r="F82" s="25">
        <f>4371+1600-2500-1500+542</f>
        <v>2513</v>
      </c>
      <c r="G82" s="27">
        <f t="shared" si="22"/>
        <v>8513</v>
      </c>
      <c r="H82" s="26">
        <f>SUM(3000-429+4800+1600-1000+1500-1500+542)</f>
        <v>8513</v>
      </c>
      <c r="I82" s="26">
        <v>0</v>
      </c>
      <c r="J82" s="25">
        <f>SUM(1588.12+111.97+1226.36+37.07+3907.31-266.51-1316.5+434.22+852.63)</f>
        <v>6574.67</v>
      </c>
      <c r="K82" s="47">
        <f>1700.09+161.91+1064.45+44.13+3907.31-266.51+454.5+832.35</f>
        <v>7898.23</v>
      </c>
      <c r="L82" s="29">
        <v>7898.23</v>
      </c>
      <c r="M82" s="18">
        <f t="shared" si="31"/>
        <v>0</v>
      </c>
      <c r="N82" s="30">
        <f t="shared" si="23"/>
        <v>614.77000000000044</v>
      </c>
      <c r="O82" s="30">
        <f t="shared" si="30"/>
        <v>0</v>
      </c>
      <c r="P82" s="30">
        <f t="shared" si="24"/>
        <v>614.77000000000044</v>
      </c>
      <c r="Q82" s="26">
        <f>271.62+183.74+149.02+3907.31+2.4+100+0.05+717.03</f>
        <v>5331.1699999999992</v>
      </c>
      <c r="R82" s="31">
        <f t="shared" si="25"/>
        <v>2567.0600000000004</v>
      </c>
      <c r="S82" s="32">
        <f t="shared" si="26"/>
        <v>0.92778456478327254</v>
      </c>
      <c r="T82" s="32">
        <f t="shared" si="27"/>
        <v>0.77230940913896395</v>
      </c>
      <c r="U82" s="32">
        <f t="shared" si="28"/>
        <v>0.92778456478327254</v>
      </c>
    </row>
    <row r="83" spans="1:46" ht="16" thickBot="1" x14ac:dyDescent="0.25">
      <c r="A83" s="23" t="s">
        <v>140</v>
      </c>
      <c r="B83" s="24" t="s">
        <v>141</v>
      </c>
      <c r="C83" s="25">
        <v>2500</v>
      </c>
      <c r="D83" s="26">
        <v>0</v>
      </c>
      <c r="E83" s="25">
        <v>2500</v>
      </c>
      <c r="F83" s="25">
        <f>2000-1000-1500-1326</f>
        <v>-1826</v>
      </c>
      <c r="G83" s="27">
        <f t="shared" si="22"/>
        <v>674</v>
      </c>
      <c r="H83" s="26">
        <f>SUM(3000+500-1500-1326)</f>
        <v>674</v>
      </c>
      <c r="I83" s="26">
        <v>0</v>
      </c>
      <c r="J83" s="26">
        <f>258.94+414.09</f>
        <v>673.03</v>
      </c>
      <c r="K83" s="47">
        <f>2000-1741.06+414.09</f>
        <v>673.03</v>
      </c>
      <c r="L83" s="29">
        <v>673.03</v>
      </c>
      <c r="M83" s="18">
        <f t="shared" si="31"/>
        <v>0</v>
      </c>
      <c r="N83" s="30">
        <f t="shared" si="23"/>
        <v>0.97000000000002728</v>
      </c>
      <c r="O83" s="30">
        <f t="shared" si="30"/>
        <v>0</v>
      </c>
      <c r="P83" s="30">
        <f t="shared" si="24"/>
        <v>0.97000000000002728</v>
      </c>
      <c r="Q83" s="33">
        <f>258.94</f>
        <v>258.94</v>
      </c>
      <c r="R83" s="31">
        <f t="shared" si="25"/>
        <v>414.09</v>
      </c>
      <c r="S83" s="32">
        <f t="shared" si="26"/>
        <v>0.99856083086053404</v>
      </c>
      <c r="T83" s="32">
        <f t="shared" si="27"/>
        <v>0.99856083086053404</v>
      </c>
      <c r="U83" s="32">
        <f t="shared" si="28"/>
        <v>0.99856083086053404</v>
      </c>
    </row>
    <row r="84" spans="1:46" ht="16" thickBot="1" x14ac:dyDescent="0.25">
      <c r="A84" s="34" t="s">
        <v>142</v>
      </c>
      <c r="B84" s="24" t="s">
        <v>143</v>
      </c>
      <c r="C84" s="25">
        <v>7020</v>
      </c>
      <c r="D84" s="26">
        <v>0</v>
      </c>
      <c r="E84" s="25">
        <v>7020</v>
      </c>
      <c r="F84" s="25">
        <f>2000-400-3000-1000-1420</f>
        <v>-3820</v>
      </c>
      <c r="G84" s="27">
        <f t="shared" si="22"/>
        <v>3200</v>
      </c>
      <c r="H84" s="26">
        <f>SUM(5000-400+2000-980-1000-1420)</f>
        <v>3200</v>
      </c>
      <c r="I84" s="26">
        <v>0</v>
      </c>
      <c r="J84" s="25">
        <f>SUM(423.19+419.44+806.67+99.46+199.68+25.09-25-0.09+25.09+183.45+39.39)</f>
        <v>2196.37</v>
      </c>
      <c r="K84" s="47">
        <f>423.19+509.41+1559.95+180.69+28.48+25.09-25-0.09+25.09+183.45+39.39</f>
        <v>2949.65</v>
      </c>
      <c r="L84" s="29">
        <v>2949.65</v>
      </c>
      <c r="M84" s="18">
        <f t="shared" si="31"/>
        <v>0</v>
      </c>
      <c r="N84" s="30">
        <f t="shared" si="23"/>
        <v>250.34999999999991</v>
      </c>
      <c r="O84" s="30">
        <f t="shared" si="30"/>
        <v>0</v>
      </c>
      <c r="P84" s="30">
        <f t="shared" si="24"/>
        <v>250.34999999999991</v>
      </c>
      <c r="Q84" s="33">
        <f>783.24+56.66+59.39+242.48+832-0.24+5.35</f>
        <v>1978.8799999999999</v>
      </c>
      <c r="R84" s="31">
        <f t="shared" si="25"/>
        <v>970.77000000000021</v>
      </c>
      <c r="S84" s="32">
        <f t="shared" si="26"/>
        <v>0.92176562500000003</v>
      </c>
      <c r="T84" s="32">
        <f t="shared" si="27"/>
        <v>0.68636562499999998</v>
      </c>
      <c r="U84" s="32">
        <f t="shared" si="28"/>
        <v>0.92176562500000003</v>
      </c>
    </row>
    <row r="85" spans="1:46" ht="16" thickBot="1" x14ac:dyDescent="0.25">
      <c r="A85" s="23">
        <v>292</v>
      </c>
      <c r="B85" s="24" t="s">
        <v>144</v>
      </c>
      <c r="C85" s="26">
        <v>0</v>
      </c>
      <c r="D85" s="26">
        <v>0</v>
      </c>
      <c r="E85" s="26">
        <v>0</v>
      </c>
      <c r="F85" s="25">
        <v>69</v>
      </c>
      <c r="G85" s="27">
        <f t="shared" si="22"/>
        <v>69</v>
      </c>
      <c r="H85" s="26">
        <v>69</v>
      </c>
      <c r="I85" s="26">
        <v>0</v>
      </c>
      <c r="J85" s="33">
        <f>68.46</f>
        <v>68.459999999999994</v>
      </c>
      <c r="K85" s="47">
        <f>68.46-68.46+68.46</f>
        <v>68.459999999999994</v>
      </c>
      <c r="L85" s="29">
        <v>68.459999999999994</v>
      </c>
      <c r="M85" s="18">
        <f t="shared" si="31"/>
        <v>0</v>
      </c>
      <c r="N85" s="30">
        <f t="shared" si="23"/>
        <v>0.54000000000000625</v>
      </c>
      <c r="O85" s="30">
        <f t="shared" si="30"/>
        <v>0</v>
      </c>
      <c r="P85" s="30">
        <f t="shared" si="24"/>
        <v>0.54000000000000625</v>
      </c>
      <c r="Q85" s="33">
        <f>68.46</f>
        <v>68.459999999999994</v>
      </c>
      <c r="R85" s="31">
        <f t="shared" si="25"/>
        <v>0</v>
      </c>
      <c r="S85" s="32">
        <f t="shared" si="26"/>
        <v>0.99217391304347813</v>
      </c>
      <c r="T85" s="32">
        <f t="shared" si="27"/>
        <v>0.99217391304347813</v>
      </c>
      <c r="U85" s="32">
        <f t="shared" si="28"/>
        <v>0.99217391304347813</v>
      </c>
    </row>
    <row r="86" spans="1:46" ht="16" thickBot="1" x14ac:dyDescent="0.25">
      <c r="A86" s="23">
        <v>297</v>
      </c>
      <c r="B86" s="24" t="s">
        <v>145</v>
      </c>
      <c r="C86" s="26">
        <v>0</v>
      </c>
      <c r="D86" s="26">
        <v>0</v>
      </c>
      <c r="E86" s="26">
        <v>0</v>
      </c>
      <c r="F86" s="25">
        <f>78-67</f>
        <v>11</v>
      </c>
      <c r="G86" s="27">
        <f t="shared" si="22"/>
        <v>11</v>
      </c>
      <c r="H86" s="26">
        <f>-67+78</f>
        <v>11</v>
      </c>
      <c r="I86" s="26">
        <v>0</v>
      </c>
      <c r="J86" s="33">
        <f>10.69</f>
        <v>10.69</v>
      </c>
      <c r="K86" s="47">
        <f>10.69-10.69+10.69</f>
        <v>10.69</v>
      </c>
      <c r="L86" s="29">
        <v>10.69</v>
      </c>
      <c r="M86" s="18">
        <f t="shared" si="31"/>
        <v>0</v>
      </c>
      <c r="N86" s="30">
        <f t="shared" si="23"/>
        <v>0.3100000000000005</v>
      </c>
      <c r="O86" s="30">
        <f t="shared" si="30"/>
        <v>0</v>
      </c>
      <c r="P86" s="30">
        <f t="shared" si="24"/>
        <v>0.3100000000000005</v>
      </c>
      <c r="Q86" s="33">
        <f>10.69</f>
        <v>10.69</v>
      </c>
      <c r="R86" s="31">
        <f t="shared" si="25"/>
        <v>0</v>
      </c>
      <c r="S86" s="32">
        <f t="shared" si="26"/>
        <v>0.9718181818181818</v>
      </c>
      <c r="T86" s="32">
        <f t="shared" si="27"/>
        <v>0.9718181818181818</v>
      </c>
      <c r="U86" s="32">
        <f t="shared" si="28"/>
        <v>0.9718181818181818</v>
      </c>
    </row>
    <row r="87" spans="1:46" ht="32.5" customHeight="1" thickBot="1" x14ac:dyDescent="0.25">
      <c r="A87" s="51">
        <v>3</v>
      </c>
      <c r="B87" s="38" t="s">
        <v>146</v>
      </c>
      <c r="C87" s="52">
        <f t="shared" ref="C87:R87" si="32">SUM(C88:C94)</f>
        <v>0</v>
      </c>
      <c r="D87" s="52">
        <f t="shared" si="32"/>
        <v>0</v>
      </c>
      <c r="E87" s="52">
        <f t="shared" si="32"/>
        <v>0</v>
      </c>
      <c r="F87" s="52">
        <f>SUM(F88:F94)</f>
        <v>70222</v>
      </c>
      <c r="G87" s="53">
        <f t="shared" si="22"/>
        <v>70222</v>
      </c>
      <c r="H87" s="52">
        <f t="shared" si="32"/>
        <v>70222</v>
      </c>
      <c r="I87" s="52">
        <f t="shared" si="32"/>
        <v>0</v>
      </c>
      <c r="J87" s="52">
        <f t="shared" si="32"/>
        <v>70195.849999999991</v>
      </c>
      <c r="K87" s="52">
        <f t="shared" si="32"/>
        <v>70195.849999999991</v>
      </c>
      <c r="L87" s="21">
        <v>70195.850000000006</v>
      </c>
      <c r="M87" s="18">
        <f t="shared" si="31"/>
        <v>0</v>
      </c>
      <c r="N87" s="52">
        <f t="shared" si="32"/>
        <v>26.150000000000745</v>
      </c>
      <c r="O87" s="52">
        <f t="shared" si="32"/>
        <v>0</v>
      </c>
      <c r="P87" s="52">
        <f t="shared" si="32"/>
        <v>26.150000000000745</v>
      </c>
      <c r="Q87" s="52">
        <f t="shared" si="32"/>
        <v>39715.79</v>
      </c>
      <c r="R87" s="54">
        <f t="shared" si="32"/>
        <v>30480.059999999998</v>
      </c>
      <c r="S87" s="43">
        <f>SUM(K87/H87*100%)</f>
        <v>0.99962760958104291</v>
      </c>
      <c r="T87" s="55">
        <f>SUM(J87/G87*100%)</f>
        <v>0.99962760958104291</v>
      </c>
      <c r="U87" s="13">
        <f>SUM(K87/G87*100%)</f>
        <v>0.99962760958104291</v>
      </c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</row>
    <row r="88" spans="1:46" s="11" customFormat="1" ht="16" thickBot="1" x14ac:dyDescent="0.25">
      <c r="A88" s="23" t="s">
        <v>147</v>
      </c>
      <c r="B88" s="24" t="s">
        <v>148</v>
      </c>
      <c r="C88" s="26">
        <v>0</v>
      </c>
      <c r="D88" s="26">
        <v>0</v>
      </c>
      <c r="E88" s="26">
        <v>0</v>
      </c>
      <c r="F88" s="26">
        <f>400-100+128</f>
        <v>428</v>
      </c>
      <c r="G88" s="27">
        <f t="shared" si="22"/>
        <v>428</v>
      </c>
      <c r="H88" s="26">
        <f>400-100+128</f>
        <v>428</v>
      </c>
      <c r="I88" s="26">
        <v>0</v>
      </c>
      <c r="J88" s="26">
        <f>428</f>
        <v>428</v>
      </c>
      <c r="K88" s="47">
        <f>428</f>
        <v>428</v>
      </c>
      <c r="L88" s="29">
        <v>428</v>
      </c>
      <c r="M88" s="18">
        <f t="shared" si="31"/>
        <v>0</v>
      </c>
      <c r="N88" s="30">
        <f t="shared" ref="N88:N94" si="33">SUM(H88-K88)</f>
        <v>0</v>
      </c>
      <c r="O88" s="30">
        <f>SUM(G88-H88)</f>
        <v>0</v>
      </c>
      <c r="P88" s="30">
        <f t="shared" ref="P88:P94" si="34">SUM(-I88+N88+O88)</f>
        <v>0</v>
      </c>
      <c r="Q88" s="26">
        <v>0</v>
      </c>
      <c r="R88" s="31">
        <f t="shared" ref="R88:R94" si="35">SUM(K88-Q88)</f>
        <v>428</v>
      </c>
      <c r="S88" s="32">
        <f>SUM(K88/H88*100%)</f>
        <v>1</v>
      </c>
      <c r="T88" s="32">
        <f>SUM(J88/G88*100%)</f>
        <v>1</v>
      </c>
      <c r="U88" s="32">
        <f>SUM(K88/G88*100%)</f>
        <v>1</v>
      </c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1:46" ht="16" thickBot="1" x14ac:dyDescent="0.25">
      <c r="A89" s="23">
        <v>314</v>
      </c>
      <c r="B89" s="24" t="s">
        <v>149</v>
      </c>
      <c r="C89" s="26">
        <v>0</v>
      </c>
      <c r="D89" s="26">
        <v>0</v>
      </c>
      <c r="E89" s="26">
        <v>0</v>
      </c>
      <c r="F89" s="26">
        <f>37887-5040</f>
        <v>32847</v>
      </c>
      <c r="G89" s="27">
        <f t="shared" si="22"/>
        <v>32847</v>
      </c>
      <c r="H89" s="26">
        <f>37887-5040</f>
        <v>32847</v>
      </c>
      <c r="I89" s="26"/>
      <c r="J89" s="26">
        <f>32846+0.25</f>
        <v>32846.25</v>
      </c>
      <c r="K89" s="47">
        <v>32846.25</v>
      </c>
      <c r="L89" s="29">
        <v>32846.25</v>
      </c>
      <c r="M89" s="18">
        <f t="shared" si="31"/>
        <v>0</v>
      </c>
      <c r="N89" s="30">
        <f t="shared" si="33"/>
        <v>0.75</v>
      </c>
      <c r="O89" s="30"/>
      <c r="P89" s="30">
        <f t="shared" si="34"/>
        <v>0.75</v>
      </c>
      <c r="Q89" s="26">
        <f>32846.25</f>
        <v>32846.25</v>
      </c>
      <c r="R89" s="31">
        <f t="shared" si="35"/>
        <v>0</v>
      </c>
      <c r="S89" s="32">
        <f t="shared" ref="S89:S94" si="36">SUM(K89/H89*100%)</f>
        <v>0.99997716686455385</v>
      </c>
      <c r="T89" s="32">
        <f t="shared" ref="T89:T94" si="37">SUM(J89/G89*100%)</f>
        <v>0.99997716686455385</v>
      </c>
      <c r="U89" s="32">
        <f>SUM(K89/G89*100%)</f>
        <v>0.99997716686455385</v>
      </c>
    </row>
    <row r="90" spans="1:46" ht="16" thickBot="1" x14ac:dyDescent="0.25">
      <c r="A90" s="23">
        <v>320</v>
      </c>
      <c r="B90" s="24" t="s">
        <v>150</v>
      </c>
      <c r="C90" s="26">
        <v>0</v>
      </c>
      <c r="D90" s="26">
        <v>0</v>
      </c>
      <c r="E90" s="26">
        <v>0</v>
      </c>
      <c r="F90" s="26">
        <f>3000+719</f>
        <v>3719</v>
      </c>
      <c r="G90" s="27">
        <f t="shared" si="22"/>
        <v>3719</v>
      </c>
      <c r="H90" s="26">
        <f>3000+719</f>
        <v>3719</v>
      </c>
      <c r="I90" s="26">
        <v>0</v>
      </c>
      <c r="J90" s="26">
        <f>3718.53</f>
        <v>3718.53</v>
      </c>
      <c r="K90" s="47">
        <f>3718.53</f>
        <v>3718.53</v>
      </c>
      <c r="L90" s="29">
        <v>3718.53</v>
      </c>
      <c r="M90" s="18">
        <f t="shared" si="31"/>
        <v>0</v>
      </c>
      <c r="N90" s="30">
        <f t="shared" si="33"/>
        <v>0.46999999999979991</v>
      </c>
      <c r="O90" s="30">
        <f>SUM(G90-H90)</f>
        <v>0</v>
      </c>
      <c r="P90" s="30">
        <f t="shared" si="34"/>
        <v>0.46999999999979991</v>
      </c>
      <c r="Q90" s="26">
        <f>883.03</f>
        <v>883.03</v>
      </c>
      <c r="R90" s="31">
        <f t="shared" si="35"/>
        <v>2835.5</v>
      </c>
      <c r="S90" s="32">
        <f t="shared" si="36"/>
        <v>0.99987362194138218</v>
      </c>
      <c r="T90" s="32">
        <f t="shared" si="37"/>
        <v>0.99987362194138218</v>
      </c>
      <c r="U90" s="32">
        <f>SUM(K90/G90*100%)</f>
        <v>0.99987362194138218</v>
      </c>
    </row>
    <row r="91" spans="1:46" ht="16" thickBot="1" x14ac:dyDescent="0.25">
      <c r="A91" s="23" t="s">
        <v>151</v>
      </c>
      <c r="B91" s="24" t="s">
        <v>152</v>
      </c>
      <c r="C91" s="26">
        <v>0</v>
      </c>
      <c r="D91" s="26">
        <v>0</v>
      </c>
      <c r="E91" s="26">
        <v>0</v>
      </c>
      <c r="F91" s="26">
        <v>0</v>
      </c>
      <c r="G91" s="27">
        <f t="shared" si="22"/>
        <v>0</v>
      </c>
      <c r="H91" s="26">
        <v>0</v>
      </c>
      <c r="I91" s="26">
        <v>0</v>
      </c>
      <c r="J91" s="26">
        <v>0</v>
      </c>
      <c r="K91" s="47">
        <v>0</v>
      </c>
      <c r="L91" s="29"/>
      <c r="M91" s="18">
        <f t="shared" si="31"/>
        <v>0</v>
      </c>
      <c r="N91" s="30">
        <f t="shared" si="33"/>
        <v>0</v>
      </c>
      <c r="O91" s="30">
        <f>SUM(G91-H91)</f>
        <v>0</v>
      </c>
      <c r="P91" s="30">
        <f t="shared" si="34"/>
        <v>0</v>
      </c>
      <c r="Q91" s="26">
        <v>0</v>
      </c>
      <c r="R91" s="31">
        <f t="shared" si="35"/>
        <v>0</v>
      </c>
      <c r="S91" s="32">
        <v>0</v>
      </c>
      <c r="T91" s="32">
        <v>0</v>
      </c>
      <c r="U91" s="32">
        <v>0</v>
      </c>
    </row>
    <row r="92" spans="1:46" ht="16" thickBot="1" x14ac:dyDescent="0.25">
      <c r="A92" s="23" t="s">
        <v>153</v>
      </c>
      <c r="B92" s="24" t="s">
        <v>154</v>
      </c>
      <c r="C92" s="26">
        <v>0</v>
      </c>
      <c r="D92" s="26">
        <v>0</v>
      </c>
      <c r="E92" s="26">
        <v>0</v>
      </c>
      <c r="F92" s="26">
        <f>4887+21000+62</f>
        <v>25949</v>
      </c>
      <c r="G92" s="27">
        <f t="shared" si="22"/>
        <v>25949</v>
      </c>
      <c r="H92" s="26">
        <f>4887+21000+62</f>
        <v>25949</v>
      </c>
      <c r="I92" s="26">
        <v>0</v>
      </c>
      <c r="J92" s="26">
        <f>4886.1+4912.24+16150.51</f>
        <v>25948.85</v>
      </c>
      <c r="K92" s="47">
        <f>4886.1+4912.24+16150.51</f>
        <v>25948.85</v>
      </c>
      <c r="L92" s="29">
        <v>25948.85</v>
      </c>
      <c r="M92" s="18">
        <f t="shared" si="31"/>
        <v>0</v>
      </c>
      <c r="N92" s="30">
        <f t="shared" si="33"/>
        <v>0.15000000000145519</v>
      </c>
      <c r="O92" s="30">
        <f>SUM(G92-H92)</f>
        <v>0</v>
      </c>
      <c r="P92" s="30">
        <f t="shared" si="34"/>
        <v>0.15000000000145519</v>
      </c>
      <c r="Q92" s="26">
        <f>4886.1+1076.88</f>
        <v>5962.9800000000005</v>
      </c>
      <c r="R92" s="31">
        <f t="shared" si="35"/>
        <v>19985.87</v>
      </c>
      <c r="S92" s="32">
        <f t="shared" si="36"/>
        <v>0.99999421943042111</v>
      </c>
      <c r="T92" s="32">
        <f t="shared" si="37"/>
        <v>0.99999421943042111</v>
      </c>
      <c r="U92" s="32">
        <f>SUM(K92/G92*100%)</f>
        <v>0.99999421943042111</v>
      </c>
    </row>
    <row r="93" spans="1:46" ht="16" thickBot="1" x14ac:dyDescent="0.25">
      <c r="A93" s="23" t="s">
        <v>155</v>
      </c>
      <c r="B93" s="24" t="s">
        <v>146</v>
      </c>
      <c r="C93" s="26">
        <v>0</v>
      </c>
      <c r="D93" s="26">
        <v>0</v>
      </c>
      <c r="E93" s="26">
        <v>0</v>
      </c>
      <c r="F93" s="26">
        <f>25+1700-1677</f>
        <v>48</v>
      </c>
      <c r="G93" s="27">
        <f t="shared" si="22"/>
        <v>48</v>
      </c>
      <c r="H93" s="26">
        <f>25+1700-1677</f>
        <v>48</v>
      </c>
      <c r="I93" s="26">
        <v>0</v>
      </c>
      <c r="J93" s="26">
        <f>23.53</f>
        <v>23.53</v>
      </c>
      <c r="K93" s="47">
        <f>23.53</f>
        <v>23.53</v>
      </c>
      <c r="L93" s="29">
        <v>23.53</v>
      </c>
      <c r="M93" s="18">
        <f t="shared" si="31"/>
        <v>0</v>
      </c>
      <c r="N93" s="30">
        <f t="shared" si="33"/>
        <v>24.47</v>
      </c>
      <c r="O93" s="30">
        <f>SUM(G93-H93)</f>
        <v>0</v>
      </c>
      <c r="P93" s="30">
        <f t="shared" si="34"/>
        <v>24.47</v>
      </c>
      <c r="Q93" s="26">
        <f>23.53</f>
        <v>23.53</v>
      </c>
      <c r="R93" s="31">
        <f t="shared" si="35"/>
        <v>0</v>
      </c>
      <c r="S93" s="32">
        <f t="shared" si="36"/>
        <v>0.49020833333333336</v>
      </c>
      <c r="T93" s="32">
        <f t="shared" si="37"/>
        <v>0.49020833333333336</v>
      </c>
      <c r="U93" s="32">
        <f>SUM(K93/G93*100%)</f>
        <v>0.49020833333333336</v>
      </c>
    </row>
    <row r="94" spans="1:46" ht="16" thickBot="1" x14ac:dyDescent="0.25">
      <c r="A94" s="23">
        <v>380</v>
      </c>
      <c r="B94" s="24" t="s">
        <v>156</v>
      </c>
      <c r="C94" s="26">
        <v>0</v>
      </c>
      <c r="D94" s="26">
        <v>0</v>
      </c>
      <c r="E94" s="26">
        <v>0</v>
      </c>
      <c r="F94" s="26">
        <f>7000+231</f>
        <v>7231</v>
      </c>
      <c r="G94" s="27">
        <f t="shared" si="22"/>
        <v>7231</v>
      </c>
      <c r="H94" s="26">
        <f>7000+231</f>
        <v>7231</v>
      </c>
      <c r="I94" s="26">
        <v>0</v>
      </c>
      <c r="J94" s="26">
        <f>4945.67+2285.02</f>
        <v>7230.6900000000005</v>
      </c>
      <c r="K94" s="47">
        <f>4945.67+2285.02</f>
        <v>7230.6900000000005</v>
      </c>
      <c r="L94" s="29">
        <v>7230.69</v>
      </c>
      <c r="M94" s="18">
        <f t="shared" si="31"/>
        <v>0</v>
      </c>
      <c r="N94" s="30">
        <f t="shared" si="33"/>
        <v>0.30999999999949068</v>
      </c>
      <c r="O94" s="30">
        <f>SUM(G94-H94)</f>
        <v>0</v>
      </c>
      <c r="P94" s="30">
        <f t="shared" si="34"/>
        <v>0.30999999999949068</v>
      </c>
      <c r="Q94" s="26">
        <v>0</v>
      </c>
      <c r="R94" s="31">
        <f t="shared" si="35"/>
        <v>7230.6900000000005</v>
      </c>
      <c r="S94" s="32">
        <f t="shared" si="36"/>
        <v>0.9999571290277971</v>
      </c>
      <c r="T94" s="32">
        <f t="shared" si="37"/>
        <v>0.9999571290277971</v>
      </c>
      <c r="U94" s="32">
        <f>SUM(K94/G94*100%)</f>
        <v>0.9999571290277971</v>
      </c>
    </row>
    <row r="95" spans="1:46" ht="16" thickBot="1" x14ac:dyDescent="0.25">
      <c r="A95" s="56">
        <v>6</v>
      </c>
      <c r="B95" s="57" t="s">
        <v>157</v>
      </c>
      <c r="C95" s="58">
        <f>SUM(C97:C100)</f>
        <v>268</v>
      </c>
      <c r="D95" s="58">
        <f>SUM(D97:D100)</f>
        <v>0</v>
      </c>
      <c r="E95" s="58">
        <f>SUM(E97:E100)</f>
        <v>268</v>
      </c>
      <c r="F95" s="58">
        <f>SUM(F96:F100)</f>
        <v>86188</v>
      </c>
      <c r="G95" s="53">
        <f t="shared" si="22"/>
        <v>86456</v>
      </c>
      <c r="H95" s="58">
        <f>SUM(H96:H100)</f>
        <v>86456</v>
      </c>
      <c r="I95" s="58">
        <f>SUM(I97:I100)</f>
        <v>0</v>
      </c>
      <c r="J95" s="58">
        <f>SUM(J97:J100)</f>
        <v>86455.17</v>
      </c>
      <c r="K95" s="59">
        <f>SUM(K96:K100)</f>
        <v>86455.17</v>
      </c>
      <c r="L95" s="21">
        <v>86455.17</v>
      </c>
      <c r="M95" s="18">
        <f t="shared" si="31"/>
        <v>0</v>
      </c>
      <c r="N95" s="58">
        <f>SUM(N97:N100)</f>
        <v>0.82999999999992724</v>
      </c>
      <c r="O95" s="58">
        <f>SUM(O97:O100)</f>
        <v>0</v>
      </c>
      <c r="P95" s="58">
        <f>SUM(P97:P100)</f>
        <v>0.82999999999992724</v>
      </c>
      <c r="Q95" s="58">
        <f>SUM(Q97:Q100)</f>
        <v>68068.489999999991</v>
      </c>
      <c r="R95" s="58">
        <f>SUM(R97:R100)</f>
        <v>18386.68</v>
      </c>
      <c r="S95" s="43">
        <f>SUM(K95/H95*100%)</f>
        <v>0.99999039974090864</v>
      </c>
      <c r="T95" s="43">
        <f>SUM(J95/G95*100%)</f>
        <v>0.99999039974090864</v>
      </c>
      <c r="U95" s="43">
        <f>SUM(K95/G95*100%)</f>
        <v>0.99999039974090864</v>
      </c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</row>
    <row r="96" spans="1:46" s="11" customFormat="1" ht="22.5" customHeight="1" thickBot="1" x14ac:dyDescent="0.25">
      <c r="A96" s="34">
        <v>612</v>
      </c>
      <c r="B96" s="24" t="s">
        <v>158</v>
      </c>
      <c r="C96" s="60">
        <v>0</v>
      </c>
      <c r="D96" s="60">
        <v>0</v>
      </c>
      <c r="E96" s="60">
        <v>0</v>
      </c>
      <c r="F96" s="60">
        <f>15727-15727</f>
        <v>0</v>
      </c>
      <c r="G96" s="27">
        <f t="shared" si="22"/>
        <v>0</v>
      </c>
      <c r="H96" s="60">
        <f>15727-15727</f>
        <v>0</v>
      </c>
      <c r="I96" s="26">
        <v>0</v>
      </c>
      <c r="J96" s="60">
        <v>0</v>
      </c>
      <c r="K96" s="61">
        <f>15726.5-15726.5</f>
        <v>0</v>
      </c>
      <c r="L96" s="29">
        <v>0</v>
      </c>
      <c r="M96" s="18">
        <f t="shared" si="31"/>
        <v>0</v>
      </c>
      <c r="N96" s="60">
        <f>SUM(H96-K96)</f>
        <v>0</v>
      </c>
      <c r="O96" s="30">
        <f>SUM(G96-H96)</f>
        <v>0</v>
      </c>
      <c r="P96" s="60">
        <f>SUM(-I96+N96+O96)</f>
        <v>0</v>
      </c>
      <c r="Q96" s="60">
        <v>0</v>
      </c>
      <c r="R96" s="31">
        <f>SUM(K96-Q96)</f>
        <v>0</v>
      </c>
      <c r="S96" s="32">
        <v>0</v>
      </c>
      <c r="T96" s="32">
        <v>0</v>
      </c>
      <c r="U96" s="32">
        <v>0</v>
      </c>
    </row>
    <row r="97" spans="1:46" s="11" customFormat="1" ht="16" thickBot="1" x14ac:dyDescent="0.25">
      <c r="A97" s="34" t="s">
        <v>159</v>
      </c>
      <c r="B97" s="24" t="s">
        <v>160</v>
      </c>
      <c r="C97" s="26">
        <v>0</v>
      </c>
      <c r="D97" s="26">
        <v>0</v>
      </c>
      <c r="E97" s="26">
        <v>0</v>
      </c>
      <c r="F97" s="26">
        <f>1500-1500+2000+3642+1159</f>
        <v>6801</v>
      </c>
      <c r="G97" s="27">
        <f t="shared" si="22"/>
        <v>6801</v>
      </c>
      <c r="H97" s="26">
        <f>2000+3642+1159</f>
        <v>6801</v>
      </c>
      <c r="I97" s="26">
        <v>0</v>
      </c>
      <c r="J97" s="26">
        <f>642+3522.18+2636.49</f>
        <v>6800.67</v>
      </c>
      <c r="K97" s="47">
        <f>642+3522.18+2636.49</f>
        <v>6800.67</v>
      </c>
      <c r="L97" s="29">
        <v>6800.67</v>
      </c>
      <c r="M97" s="18">
        <f t="shared" si="31"/>
        <v>0</v>
      </c>
      <c r="N97" s="30">
        <f>SUM(H97-K97)</f>
        <v>0.32999999999992724</v>
      </c>
      <c r="O97" s="30">
        <f>SUM(G97-H97)</f>
        <v>0</v>
      </c>
      <c r="P97" s="30">
        <f>SUM(-I97+N97+O97)</f>
        <v>0.32999999999992724</v>
      </c>
      <c r="Q97" s="26">
        <f>2341.99</f>
        <v>2341.9899999999998</v>
      </c>
      <c r="R97" s="31">
        <f>SUM(K97-Q97)</f>
        <v>4458.68</v>
      </c>
      <c r="S97" s="32">
        <f>SUM(K97/H97*100%)</f>
        <v>0.99995147772386417</v>
      </c>
      <c r="T97" s="32">
        <f>SUM(J97/G97*100%)</f>
        <v>0.99995147772386417</v>
      </c>
      <c r="U97" s="32">
        <f>SUM(K97/G97*100%)</f>
        <v>0.99995147772386417</v>
      </c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1:46" ht="16" thickBot="1" x14ac:dyDescent="0.25">
      <c r="A98" s="34" t="s">
        <v>161</v>
      </c>
      <c r="B98" s="24" t="s">
        <v>162</v>
      </c>
      <c r="C98" s="25">
        <v>268</v>
      </c>
      <c r="D98" s="26">
        <v>0</v>
      </c>
      <c r="E98" s="25">
        <v>268</v>
      </c>
      <c r="F98" s="26">
        <f>268-536</f>
        <v>-268</v>
      </c>
      <c r="G98" s="27">
        <f t="shared" si="22"/>
        <v>0</v>
      </c>
      <c r="H98" s="26">
        <f>268-268</f>
        <v>0</v>
      </c>
      <c r="I98" s="26">
        <v>0</v>
      </c>
      <c r="J98" s="26">
        <v>0</v>
      </c>
      <c r="K98" s="47">
        <v>0</v>
      </c>
      <c r="L98" s="29">
        <v>0</v>
      </c>
      <c r="M98" s="18">
        <f t="shared" si="31"/>
        <v>0</v>
      </c>
      <c r="N98" s="30">
        <f>SUM(H98-K98)</f>
        <v>0</v>
      </c>
      <c r="O98" s="30">
        <f>SUM(G98-H98)</f>
        <v>0</v>
      </c>
      <c r="P98" s="30">
        <f>SUM(-I98+N98+O98)</f>
        <v>0</v>
      </c>
      <c r="Q98" s="26">
        <v>0</v>
      </c>
      <c r="R98" s="31">
        <f>SUM(K98-Q98)</f>
        <v>0</v>
      </c>
      <c r="S98" s="32">
        <v>0</v>
      </c>
      <c r="T98" s="32">
        <v>0</v>
      </c>
      <c r="U98" s="32">
        <v>0</v>
      </c>
    </row>
    <row r="99" spans="1:46" ht="16" thickBot="1" x14ac:dyDescent="0.25">
      <c r="A99" s="34">
        <v>669</v>
      </c>
      <c r="B99" s="24" t="s">
        <v>163</v>
      </c>
      <c r="C99" s="25">
        <v>0</v>
      </c>
      <c r="D99" s="26">
        <v>0</v>
      </c>
      <c r="E99" s="25">
        <v>0</v>
      </c>
      <c r="F99" s="26">
        <f>30000+33928</f>
        <v>63928</v>
      </c>
      <c r="G99" s="27">
        <f t="shared" si="22"/>
        <v>63928</v>
      </c>
      <c r="H99" s="26">
        <f>30000+33928</f>
        <v>63928</v>
      </c>
      <c r="I99" s="26"/>
      <c r="J99" s="26">
        <f>30000+33928</f>
        <v>63928</v>
      </c>
      <c r="K99" s="47">
        <f>30000+33928</f>
        <v>63928</v>
      </c>
      <c r="L99" s="29">
        <v>63928</v>
      </c>
      <c r="M99" s="18">
        <f t="shared" si="31"/>
        <v>0</v>
      </c>
      <c r="N99" s="30"/>
      <c r="O99" s="30"/>
      <c r="P99" s="30"/>
      <c r="Q99" s="26">
        <f>30000+20000</f>
        <v>50000</v>
      </c>
      <c r="R99" s="31">
        <f>SUM(K99-Q99)</f>
        <v>13928</v>
      </c>
      <c r="S99" s="32">
        <f t="shared" ref="S99:S105" si="38">SUM(K99/H99*100%)</f>
        <v>1</v>
      </c>
      <c r="T99" s="32">
        <f t="shared" ref="T99:T105" si="39">SUM(J99/G99*100%)</f>
        <v>1</v>
      </c>
      <c r="U99" s="32">
        <f t="shared" ref="U99:U105" si="40">SUM(K99/G99*100%)</f>
        <v>1</v>
      </c>
    </row>
    <row r="100" spans="1:46" ht="16" thickBot="1" x14ac:dyDescent="0.25">
      <c r="A100" s="34">
        <v>692</v>
      </c>
      <c r="B100" s="24" t="s">
        <v>164</v>
      </c>
      <c r="C100" s="26">
        <v>0</v>
      </c>
      <c r="D100" s="26">
        <v>0</v>
      </c>
      <c r="E100" s="26">
        <v>0</v>
      </c>
      <c r="F100" s="26">
        <v>15727</v>
      </c>
      <c r="G100" s="27">
        <f t="shared" si="22"/>
        <v>15727</v>
      </c>
      <c r="H100" s="26">
        <v>15727</v>
      </c>
      <c r="I100" s="26">
        <v>0</v>
      </c>
      <c r="J100" s="26">
        <v>15726.5</v>
      </c>
      <c r="K100" s="47">
        <v>15726.5</v>
      </c>
      <c r="L100" s="29">
        <v>15726.5</v>
      </c>
      <c r="M100" s="18">
        <f t="shared" si="31"/>
        <v>0</v>
      </c>
      <c r="N100" s="30">
        <f>SUM(H100-K100)</f>
        <v>0.5</v>
      </c>
      <c r="O100" s="30">
        <f>SUM(G100-H100)</f>
        <v>0</v>
      </c>
      <c r="P100" s="30">
        <f>SUM(-I100+N100+O100)</f>
        <v>0.5</v>
      </c>
      <c r="Q100" s="26">
        <f>15726.5</f>
        <v>15726.5</v>
      </c>
      <c r="R100" s="31">
        <f>SUM(K100-Q100)</f>
        <v>0</v>
      </c>
      <c r="S100" s="32">
        <f t="shared" si="38"/>
        <v>0.99996820754117122</v>
      </c>
      <c r="T100" s="32">
        <f t="shared" si="39"/>
        <v>0.99996820754117122</v>
      </c>
      <c r="U100" s="32">
        <f t="shared" si="40"/>
        <v>0.99996820754117122</v>
      </c>
    </row>
    <row r="101" spans="1:46" ht="16" thickBot="1" x14ac:dyDescent="0.25">
      <c r="A101" s="62"/>
      <c r="B101" s="63" t="s">
        <v>165</v>
      </c>
      <c r="C101" s="64">
        <v>0</v>
      </c>
      <c r="D101" s="64">
        <v>0</v>
      </c>
      <c r="E101" s="64">
        <v>0</v>
      </c>
      <c r="F101" s="65">
        <f>SUM(F102+F104)</f>
        <v>100000</v>
      </c>
      <c r="G101" s="66">
        <f t="shared" si="22"/>
        <v>100000</v>
      </c>
      <c r="H101" s="65">
        <f>SUM(H102+H104)</f>
        <v>100000</v>
      </c>
      <c r="I101" s="67">
        <v>0</v>
      </c>
      <c r="J101" s="65">
        <f>SUM(J102+J104)</f>
        <v>99929.5</v>
      </c>
      <c r="K101" s="68">
        <f>SUM(K102+K104)</f>
        <v>99929.5</v>
      </c>
      <c r="L101" s="21">
        <v>99929.5</v>
      </c>
      <c r="M101" s="18">
        <f t="shared" si="31"/>
        <v>0</v>
      </c>
      <c r="N101" s="69">
        <f>SUM(N102+N104)</f>
        <v>70.499999999998181</v>
      </c>
      <c r="O101" s="58">
        <f>SUM(O105:O107)</f>
        <v>0</v>
      </c>
      <c r="P101" s="58">
        <f>SUM(P102+P104)</f>
        <v>70.499999999998181</v>
      </c>
      <c r="Q101" s="58">
        <f>SUM(Q102+Q104)</f>
        <v>75320.209999999992</v>
      </c>
      <c r="R101" s="58">
        <f>SUM(R102+R104)</f>
        <v>24609.290000000008</v>
      </c>
      <c r="S101" s="43">
        <f t="shared" si="38"/>
        <v>0.99929500000000004</v>
      </c>
      <c r="T101" s="43">
        <f t="shared" si="39"/>
        <v>0.99929500000000004</v>
      </c>
      <c r="U101" s="43">
        <f t="shared" si="40"/>
        <v>0.99929500000000004</v>
      </c>
    </row>
    <row r="102" spans="1:46" ht="16" thickBot="1" x14ac:dyDescent="0.25">
      <c r="A102" s="56">
        <v>2</v>
      </c>
      <c r="B102" s="57" t="s">
        <v>95</v>
      </c>
      <c r="C102" s="58">
        <v>0</v>
      </c>
      <c r="D102" s="58">
        <v>0</v>
      </c>
      <c r="E102" s="58">
        <v>0</v>
      </c>
      <c r="F102" s="70">
        <f>F103</f>
        <v>3624</v>
      </c>
      <c r="G102" s="70">
        <f t="shared" si="22"/>
        <v>3624</v>
      </c>
      <c r="H102" s="58">
        <f>H103</f>
        <v>3624</v>
      </c>
      <c r="I102" s="58">
        <v>0</v>
      </c>
      <c r="J102" s="58">
        <f>J103</f>
        <v>3623.23</v>
      </c>
      <c r="K102" s="59">
        <f>K103</f>
        <v>3623.23</v>
      </c>
      <c r="L102" s="71">
        <v>3623.23</v>
      </c>
      <c r="M102" s="18">
        <f t="shared" si="31"/>
        <v>0</v>
      </c>
      <c r="N102" s="58">
        <f>SUM(H102-K102)</f>
        <v>0.76999999999998181</v>
      </c>
      <c r="O102" s="58">
        <v>0</v>
      </c>
      <c r="P102" s="58">
        <f>SUM(-I102+N102+O102)</f>
        <v>0.76999999999998181</v>
      </c>
      <c r="Q102" s="58">
        <f>Q103</f>
        <v>3623.23</v>
      </c>
      <c r="R102" s="72">
        <f>SUM(K102-Q102)</f>
        <v>0</v>
      </c>
      <c r="S102" s="32">
        <f t="shared" si="38"/>
        <v>0.99978752759381895</v>
      </c>
      <c r="T102" s="32">
        <f t="shared" si="39"/>
        <v>0.99978752759381895</v>
      </c>
      <c r="U102" s="32">
        <f t="shared" si="40"/>
        <v>0.99978752759381895</v>
      </c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</row>
    <row r="103" spans="1:46" ht="16" thickBot="1" x14ac:dyDescent="0.25">
      <c r="A103" s="45" t="s">
        <v>130</v>
      </c>
      <c r="B103" s="24" t="s">
        <v>131</v>
      </c>
      <c r="C103" s="73">
        <v>0</v>
      </c>
      <c r="D103" s="73">
        <v>0</v>
      </c>
      <c r="E103" s="73">
        <v>0</v>
      </c>
      <c r="F103" s="74">
        <f>2122+1505-3</f>
        <v>3624</v>
      </c>
      <c r="G103" s="74">
        <f t="shared" si="22"/>
        <v>3624</v>
      </c>
      <c r="H103" s="75">
        <f>2122+1505-3</f>
        <v>3624</v>
      </c>
      <c r="I103" s="73">
        <v>0</v>
      </c>
      <c r="J103" s="75">
        <f>2118.6+1505-0.37</f>
        <v>3623.23</v>
      </c>
      <c r="K103" s="76">
        <f>2118.6+1504.63</f>
        <v>3623.23</v>
      </c>
      <c r="L103" s="29">
        <v>3623.23</v>
      </c>
      <c r="M103" s="18">
        <f t="shared" si="31"/>
        <v>0</v>
      </c>
      <c r="N103" s="73">
        <f>SUM(H103-K103)</f>
        <v>0.76999999999998181</v>
      </c>
      <c r="O103" s="77">
        <v>0</v>
      </c>
      <c r="P103" s="73">
        <f>SUM(-I103+N103+O103)</f>
        <v>0.76999999999998181</v>
      </c>
      <c r="Q103" s="74">
        <f>2118.6+1504.63</f>
        <v>3623.23</v>
      </c>
      <c r="R103" s="72">
        <f>SUM(K103-Q103)</f>
        <v>0</v>
      </c>
      <c r="S103" s="78">
        <f t="shared" si="38"/>
        <v>0.99978752759381895</v>
      </c>
      <c r="T103" s="78">
        <f t="shared" si="39"/>
        <v>0.99978752759381895</v>
      </c>
      <c r="U103" s="32">
        <f t="shared" si="40"/>
        <v>0.99978752759381895</v>
      </c>
    </row>
    <row r="104" spans="1:46" s="11" customFormat="1" ht="22.5" customHeight="1" thickBot="1" x14ac:dyDescent="0.25">
      <c r="A104" s="56">
        <v>3</v>
      </c>
      <c r="B104" s="57" t="s">
        <v>146</v>
      </c>
      <c r="C104" s="58">
        <v>0</v>
      </c>
      <c r="D104" s="58">
        <v>0</v>
      </c>
      <c r="E104" s="58">
        <v>0</v>
      </c>
      <c r="F104" s="79">
        <f>SUM(F105:F111)</f>
        <v>96376</v>
      </c>
      <c r="G104" s="79">
        <f t="shared" si="22"/>
        <v>96376</v>
      </c>
      <c r="H104" s="58">
        <f>SUM(H105:H111)</f>
        <v>96376</v>
      </c>
      <c r="I104" s="70">
        <v>0</v>
      </c>
      <c r="J104" s="80">
        <f>SUM(J105:J111)</f>
        <v>96306.27</v>
      </c>
      <c r="K104" s="58">
        <f>SUM(K105:K111)</f>
        <v>96306.27</v>
      </c>
      <c r="L104" s="21">
        <v>96306.27</v>
      </c>
      <c r="M104" s="18">
        <f t="shared" si="31"/>
        <v>0</v>
      </c>
      <c r="N104" s="58">
        <f>SUM(N105:N111)</f>
        <v>69.729999999998199</v>
      </c>
      <c r="O104" s="58">
        <v>0</v>
      </c>
      <c r="P104" s="81">
        <f>SUM(P105:P111)</f>
        <v>69.729999999998199</v>
      </c>
      <c r="Q104" s="81">
        <f>SUM(Q105:Q111)</f>
        <v>71696.98</v>
      </c>
      <c r="R104" s="79">
        <f>SUM(R105:R111)</f>
        <v>24609.290000000008</v>
      </c>
      <c r="S104" s="82">
        <f t="shared" si="38"/>
        <v>0.99927647962148258</v>
      </c>
      <c r="T104" s="83">
        <f t="shared" si="39"/>
        <v>0.99927647962148258</v>
      </c>
      <c r="U104" s="82">
        <f t="shared" si="40"/>
        <v>0.99927647962148258</v>
      </c>
    </row>
    <row r="105" spans="1:46" ht="16" thickBot="1" x14ac:dyDescent="0.25">
      <c r="A105" s="45" t="s">
        <v>147</v>
      </c>
      <c r="B105" s="84" t="s">
        <v>148</v>
      </c>
      <c r="C105" s="85">
        <v>0</v>
      </c>
      <c r="D105" s="85">
        <v>0</v>
      </c>
      <c r="E105" s="85">
        <v>0</v>
      </c>
      <c r="F105" s="86">
        <f>40000-2122-32000-2000-2566</f>
        <v>1312</v>
      </c>
      <c r="G105" s="85">
        <f t="shared" si="22"/>
        <v>1312</v>
      </c>
      <c r="H105" s="87">
        <f>SUM(40000-2122-32000-2000-2566)</f>
        <v>1312</v>
      </c>
      <c r="I105" s="85">
        <v>0</v>
      </c>
      <c r="J105" s="85">
        <f>745.37+299.95+266.43</f>
        <v>1311.75</v>
      </c>
      <c r="K105" s="85">
        <f>745.37+299.95+266.43</f>
        <v>1311.75</v>
      </c>
      <c r="L105" s="29">
        <v>1311.75</v>
      </c>
      <c r="M105" s="18">
        <f t="shared" si="31"/>
        <v>0</v>
      </c>
      <c r="N105" s="85">
        <f>SUM(H105-K105)</f>
        <v>0.25</v>
      </c>
      <c r="O105" s="88">
        <f>SUM(G105-H105)</f>
        <v>0</v>
      </c>
      <c r="P105" s="85">
        <f>SUM(-I105+N105+O105)</f>
        <v>0.25</v>
      </c>
      <c r="Q105" s="86">
        <f>745.37+299.95</f>
        <v>1045.32</v>
      </c>
      <c r="R105" s="86">
        <f>SUM(K105-Q105)</f>
        <v>266.43000000000006</v>
      </c>
      <c r="S105" s="13">
        <f t="shared" si="38"/>
        <v>0.99980945121951215</v>
      </c>
      <c r="T105" s="13">
        <f t="shared" si="39"/>
        <v>0.99980945121951215</v>
      </c>
      <c r="U105" s="42">
        <f t="shared" si="40"/>
        <v>0.99980945121951215</v>
      </c>
    </row>
    <row r="106" spans="1:46" ht="16" thickBot="1" x14ac:dyDescent="0.25">
      <c r="A106" s="45">
        <v>314</v>
      </c>
      <c r="B106" s="84" t="s">
        <v>149</v>
      </c>
      <c r="C106" s="85">
        <v>0</v>
      </c>
      <c r="D106" s="85">
        <v>0</v>
      </c>
      <c r="E106" s="85">
        <v>0</v>
      </c>
      <c r="F106" s="86">
        <v>0</v>
      </c>
      <c r="G106" s="85">
        <f t="shared" si="22"/>
        <v>0</v>
      </c>
      <c r="H106" s="87">
        <v>0</v>
      </c>
      <c r="I106" s="85"/>
      <c r="J106" s="85"/>
      <c r="K106" s="85"/>
      <c r="L106" s="29"/>
      <c r="M106" s="18">
        <f t="shared" si="31"/>
        <v>0</v>
      </c>
      <c r="N106" s="85"/>
      <c r="O106" s="88"/>
      <c r="P106" s="85"/>
      <c r="Q106" s="86"/>
      <c r="R106" s="86">
        <f t="shared" ref="R106:R111" si="41">SUM(K106-Q106)</f>
        <v>0</v>
      </c>
      <c r="S106" s="89">
        <v>0</v>
      </c>
      <c r="T106" s="89">
        <v>0</v>
      </c>
      <c r="U106" s="89">
        <v>0</v>
      </c>
    </row>
    <row r="107" spans="1:46" ht="16" thickBot="1" x14ac:dyDescent="0.25">
      <c r="A107" s="23">
        <v>320</v>
      </c>
      <c r="B107" s="24" t="s">
        <v>150</v>
      </c>
      <c r="C107" s="90">
        <v>0</v>
      </c>
      <c r="D107" s="90">
        <v>0</v>
      </c>
      <c r="E107" s="90">
        <v>0</v>
      </c>
      <c r="F107" s="91">
        <f>4000-2000-95</f>
        <v>1905</v>
      </c>
      <c r="G107" s="90">
        <f t="shared" si="22"/>
        <v>1905</v>
      </c>
      <c r="H107" s="26">
        <f>4000-2000-95</f>
        <v>1905</v>
      </c>
      <c r="I107" s="90">
        <v>0</v>
      </c>
      <c r="J107" s="90">
        <f>1904.5+0.1</f>
        <v>1904.6</v>
      </c>
      <c r="K107" s="90">
        <v>1904.6</v>
      </c>
      <c r="L107" s="29">
        <v>1904.6</v>
      </c>
      <c r="M107" s="18">
        <f t="shared" si="31"/>
        <v>0</v>
      </c>
      <c r="N107" s="90">
        <f>SUM(H107-K107)</f>
        <v>0.40000000000009095</v>
      </c>
      <c r="O107" s="31">
        <f>SUM(G107-H107)</f>
        <v>0</v>
      </c>
      <c r="P107" s="90">
        <f>SUM(-I107+N107+O107)</f>
        <v>0.40000000000009095</v>
      </c>
      <c r="Q107" s="91">
        <f>1904.6</f>
        <v>1904.6</v>
      </c>
      <c r="R107" s="91">
        <f t="shared" si="41"/>
        <v>0</v>
      </c>
      <c r="S107" s="92">
        <f>SUM(K107/H107*100%)</f>
        <v>0.99979002624671909</v>
      </c>
      <c r="T107" s="92">
        <f>SUM(J107/G107*100%)</f>
        <v>0.99979002624671909</v>
      </c>
      <c r="U107" s="92">
        <f>SUM(K107/G107*100%)</f>
        <v>0.99979002624671909</v>
      </c>
    </row>
    <row r="108" spans="1:46" ht="16" thickBot="1" x14ac:dyDescent="0.25">
      <c r="A108" s="23" t="s">
        <v>151</v>
      </c>
      <c r="B108" s="24" t="s">
        <v>152</v>
      </c>
      <c r="C108" s="90">
        <v>0</v>
      </c>
      <c r="D108" s="90">
        <v>0</v>
      </c>
      <c r="E108" s="90">
        <v>0</v>
      </c>
      <c r="F108" s="91">
        <f>8000-3500-4500</f>
        <v>0</v>
      </c>
      <c r="G108" s="90">
        <f t="shared" si="22"/>
        <v>0</v>
      </c>
      <c r="H108" s="26">
        <f>8000-3500-4500</f>
        <v>0</v>
      </c>
      <c r="I108" s="90">
        <v>0</v>
      </c>
      <c r="J108" s="90">
        <v>0</v>
      </c>
      <c r="K108" s="90">
        <v>0</v>
      </c>
      <c r="L108" s="29">
        <v>0</v>
      </c>
      <c r="M108" s="18">
        <f t="shared" si="31"/>
        <v>0</v>
      </c>
      <c r="N108" s="90">
        <f>SUM(H108-K108)</f>
        <v>0</v>
      </c>
      <c r="O108" s="31">
        <f>SUM(G108-H108)</f>
        <v>0</v>
      </c>
      <c r="P108" s="90">
        <f>SUM(-I108+N108+O108)</f>
        <v>0</v>
      </c>
      <c r="Q108" s="91">
        <v>0</v>
      </c>
      <c r="R108" s="91">
        <f t="shared" si="41"/>
        <v>0</v>
      </c>
      <c r="S108" s="92">
        <v>0</v>
      </c>
      <c r="T108" s="92">
        <v>0</v>
      </c>
      <c r="U108" s="92">
        <v>0</v>
      </c>
    </row>
    <row r="109" spans="1:46" ht="16" thickBot="1" x14ac:dyDescent="0.25">
      <c r="A109" s="23" t="s">
        <v>153</v>
      </c>
      <c r="B109" s="24" t="s">
        <v>154</v>
      </c>
      <c r="C109" s="90">
        <v>0</v>
      </c>
      <c r="D109" s="90">
        <v>0</v>
      </c>
      <c r="E109" s="90">
        <v>0</v>
      </c>
      <c r="F109" s="91">
        <f>3000+15000+9337</f>
        <v>27337</v>
      </c>
      <c r="G109" s="90">
        <f t="shared" si="22"/>
        <v>27337</v>
      </c>
      <c r="H109" s="26">
        <f>3000+15000+9337</f>
        <v>27337</v>
      </c>
      <c r="I109" s="90">
        <v>0</v>
      </c>
      <c r="J109" s="90">
        <f>513.6+148.33+15301+1917.33+9388.47</f>
        <v>27268.730000000003</v>
      </c>
      <c r="K109" s="90">
        <f>513.6+148.33+15301+1917.33+9388.47</f>
        <v>27268.730000000003</v>
      </c>
      <c r="L109" s="29">
        <v>27268.73</v>
      </c>
      <c r="M109" s="18">
        <f t="shared" si="31"/>
        <v>0</v>
      </c>
      <c r="N109" s="90">
        <f>SUM(H109-K109)</f>
        <v>68.269999999996799</v>
      </c>
      <c r="O109" s="31">
        <f>SUM(G109-H109)</f>
        <v>0</v>
      </c>
      <c r="P109" s="90">
        <f>SUM(-I109+N109+O109)</f>
        <v>68.269999999996799</v>
      </c>
      <c r="Q109" s="91">
        <f>513.6+148.33+6794.5+8506.5+1348.55</f>
        <v>17311.48</v>
      </c>
      <c r="R109" s="91">
        <f t="shared" si="41"/>
        <v>9957.2500000000036</v>
      </c>
      <c r="S109" s="92">
        <f>SUM(K109/H109*100%)</f>
        <v>0.99750265208325728</v>
      </c>
      <c r="T109" s="92">
        <f>SUM(J109/G109*100%)</f>
        <v>0.99750265208325728</v>
      </c>
      <c r="U109" s="92">
        <f>SUM(K109/G109*100%)</f>
        <v>0.99750265208325728</v>
      </c>
    </row>
    <row r="110" spans="1:46" ht="16" thickBot="1" x14ac:dyDescent="0.25">
      <c r="A110" s="23" t="s">
        <v>155</v>
      </c>
      <c r="B110" s="24" t="s">
        <v>146</v>
      </c>
      <c r="C110" s="90">
        <v>0</v>
      </c>
      <c r="D110" s="90">
        <v>0</v>
      </c>
      <c r="E110" s="90">
        <v>0</v>
      </c>
      <c r="F110" s="91">
        <f>5000+5500+1000-6</f>
        <v>11494</v>
      </c>
      <c r="G110" s="90">
        <f t="shared" si="22"/>
        <v>11494</v>
      </c>
      <c r="H110" s="26">
        <f>5000+5500+1000-6</f>
        <v>11494</v>
      </c>
      <c r="I110" s="90">
        <v>0</v>
      </c>
      <c r="J110" s="90">
        <f>9915.3+1118.15+460.1</f>
        <v>11493.55</v>
      </c>
      <c r="K110" s="90">
        <f>9915.3+1118.15+460.1</f>
        <v>11493.55</v>
      </c>
      <c r="L110" s="29">
        <v>11493.55</v>
      </c>
      <c r="M110" s="18">
        <f t="shared" si="31"/>
        <v>0</v>
      </c>
      <c r="N110" s="90">
        <f>SUM(H110-K110)</f>
        <v>0.4500000000007276</v>
      </c>
      <c r="O110" s="31">
        <f>SUM(G110-H110)</f>
        <v>0</v>
      </c>
      <c r="P110" s="90">
        <f>SUM(-I110+N110+O110)</f>
        <v>0.4500000000007276</v>
      </c>
      <c r="Q110" s="91">
        <f>3975.05+3697.92+1622.59+1732.54+460.1</f>
        <v>11488.199999999999</v>
      </c>
      <c r="R110" s="91">
        <f t="shared" si="41"/>
        <v>5.3500000000003638</v>
      </c>
      <c r="S110" s="92">
        <f>SUM(K110/H110*100%)</f>
        <v>0.999960849138681</v>
      </c>
      <c r="T110" s="92">
        <f>SUM(J110/G110*100%)</f>
        <v>0.999960849138681</v>
      </c>
      <c r="U110" s="92">
        <f>SUM(K110/G110*100%)</f>
        <v>0.999960849138681</v>
      </c>
    </row>
    <row r="111" spans="1:46" ht="16" thickBot="1" x14ac:dyDescent="0.25">
      <c r="A111" s="93">
        <v>380</v>
      </c>
      <c r="B111" s="94" t="s">
        <v>156</v>
      </c>
      <c r="C111" s="95">
        <v>0</v>
      </c>
      <c r="D111" s="95">
        <v>0</v>
      </c>
      <c r="E111" s="95">
        <v>0</v>
      </c>
      <c r="F111" s="96">
        <f>40000+30000-13505-2167</f>
        <v>54328</v>
      </c>
      <c r="G111" s="95">
        <f t="shared" si="22"/>
        <v>54328</v>
      </c>
      <c r="H111" s="97">
        <f>40000+30000-13505-2167</f>
        <v>54328</v>
      </c>
      <c r="I111" s="95">
        <v>0</v>
      </c>
      <c r="J111" s="95">
        <f>23309.95+15836+1107.4+11036.01+1384.15+1654.13</f>
        <v>54327.64</v>
      </c>
      <c r="K111" s="95">
        <f>26466.45+12679.5+1107.4+11036.01+1384.15+1654.13</f>
        <v>54327.64</v>
      </c>
      <c r="L111" s="71">
        <v>54327.64</v>
      </c>
      <c r="M111" s="18">
        <f t="shared" si="31"/>
        <v>0</v>
      </c>
      <c r="N111" s="95">
        <f>SUM(H111-K111)</f>
        <v>0.36000000000058208</v>
      </c>
      <c r="O111" s="98">
        <f>SUM(G111-H111)</f>
        <v>0</v>
      </c>
      <c r="P111" s="95">
        <f>SUM(-I111+N111+O111)</f>
        <v>0.36000000000058208</v>
      </c>
      <c r="Q111" s="96">
        <f>12679.5+23737.95+1122.43+2407.5</f>
        <v>39947.379999999997</v>
      </c>
      <c r="R111" s="96">
        <f t="shared" si="41"/>
        <v>14380.260000000002</v>
      </c>
      <c r="S111" s="92">
        <f>SUM(K111/H111*100%)</f>
        <v>0.99999337358268292</v>
      </c>
      <c r="T111" s="92">
        <f>SUM(J111/G111*100%)</f>
        <v>0.99999337358268292</v>
      </c>
      <c r="U111" s="92">
        <f>SUM(K111/G111*100%)</f>
        <v>0.99999337358268292</v>
      </c>
    </row>
    <row r="112" spans="1:46" ht="15" x14ac:dyDescent="0.2">
      <c r="L112" s="102"/>
    </row>
    <row r="113" spans="12:12" ht="15" x14ac:dyDescent="0.2">
      <c r="L113" s="102"/>
    </row>
    <row r="114" spans="12:12" ht="15" x14ac:dyDescent="0.2">
      <c r="L114" s="102"/>
    </row>
    <row r="115" spans="12:12" ht="15" x14ac:dyDescent="0.2">
      <c r="L115" s="102"/>
    </row>
  </sheetData>
  <mergeCells count="7">
    <mergeCell ref="A8:B8"/>
    <mergeCell ref="A1:U1"/>
    <mergeCell ref="A2:U2"/>
    <mergeCell ref="A3:U3"/>
    <mergeCell ref="A4:U4"/>
    <mergeCell ref="A5:U5"/>
    <mergeCell ref="A7:B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de Gantes</dc:creator>
  <cp:lastModifiedBy>Microsoft Office User</cp:lastModifiedBy>
  <dcterms:created xsi:type="dcterms:W3CDTF">2022-01-05T16:14:06Z</dcterms:created>
  <dcterms:modified xsi:type="dcterms:W3CDTF">2022-01-16T20:12:02Z</dcterms:modified>
</cp:coreProperties>
</file>