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driguez\Desktop\2022\web\marzo 2022\"/>
    </mc:Choice>
  </mc:AlternateContent>
  <xr:revisionPtr revIDLastSave="0" documentId="8_{A3594E8B-0465-44E8-A8A5-34B935677CA4}" xr6:coauthVersionLast="47" xr6:coauthVersionMax="47" xr10:uidLastSave="{00000000-0000-0000-0000-000000000000}"/>
  <bookViews>
    <workbookView xWindow="-120" yWindow="-120" windowWidth="24240" windowHeight="13140" xr2:uid="{650DB0E9-244E-4DC3-B8B9-5950EF95CB0F}"/>
  </bookViews>
  <sheets>
    <sheet name="EJECUCION PRESUPUESTARIA ABRIL 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5" i="1" l="1"/>
  <c r="P116" i="1"/>
  <c r="L116" i="1"/>
  <c r="H116" i="1"/>
  <c r="G116" i="1"/>
  <c r="M116" i="1" s="1"/>
  <c r="F116" i="1"/>
  <c r="P115" i="1"/>
  <c r="L115" i="1"/>
  <c r="K115" i="1"/>
  <c r="S115" i="1" s="1"/>
  <c r="J115" i="1"/>
  <c r="H115" i="1"/>
  <c r="Q115" i="1" s="1"/>
  <c r="F115" i="1"/>
  <c r="G115" i="1" s="1"/>
  <c r="E115" i="1"/>
  <c r="K114" i="1"/>
  <c r="P114" i="1" s="1"/>
  <c r="J114" i="1"/>
  <c r="H114" i="1"/>
  <c r="L114" i="1" s="1"/>
  <c r="F114" i="1"/>
  <c r="E114" i="1"/>
  <c r="G114" i="1" s="1"/>
  <c r="M114" i="1" s="1"/>
  <c r="P113" i="1"/>
  <c r="L113" i="1"/>
  <c r="G113" i="1"/>
  <c r="M113" i="1" s="1"/>
  <c r="E113" i="1"/>
  <c r="P112" i="1"/>
  <c r="L112" i="1"/>
  <c r="G112" i="1"/>
  <c r="M112" i="1" s="1"/>
  <c r="N112" i="1" s="1"/>
  <c r="E112" i="1"/>
  <c r="E108" i="1" s="1"/>
  <c r="E105" i="1" s="1"/>
  <c r="P111" i="1"/>
  <c r="L111" i="1"/>
  <c r="E111" i="1"/>
  <c r="G111" i="1" s="1"/>
  <c r="M111" i="1" s="1"/>
  <c r="P110" i="1"/>
  <c r="N110" i="1"/>
  <c r="L110" i="1"/>
  <c r="L108" i="1" s="1"/>
  <c r="G110" i="1"/>
  <c r="E110" i="1"/>
  <c r="P109" i="1"/>
  <c r="P108" i="1" s="1"/>
  <c r="L109" i="1"/>
  <c r="K109" i="1"/>
  <c r="J109" i="1"/>
  <c r="H109" i="1"/>
  <c r="Q109" i="1" s="1"/>
  <c r="F109" i="1"/>
  <c r="F108" i="1" s="1"/>
  <c r="F105" i="1" s="1"/>
  <c r="E109" i="1"/>
  <c r="G109" i="1" s="1"/>
  <c r="O108" i="1"/>
  <c r="C108" i="1"/>
  <c r="C105" i="1" s="1"/>
  <c r="P107" i="1"/>
  <c r="P106" i="1" s="1"/>
  <c r="N107" i="1"/>
  <c r="L107" i="1"/>
  <c r="E107" i="1"/>
  <c r="R106" i="1"/>
  <c r="Q106" i="1"/>
  <c r="O106" i="1"/>
  <c r="O105" i="1" s="1"/>
  <c r="K106" i="1"/>
  <c r="J106" i="1"/>
  <c r="H106" i="1"/>
  <c r="L106" i="1" s="1"/>
  <c r="G106" i="1"/>
  <c r="Q104" i="1"/>
  <c r="P104" i="1"/>
  <c r="L104" i="1"/>
  <c r="K104" i="1"/>
  <c r="J104" i="1"/>
  <c r="R104" i="1" s="1"/>
  <c r="H104" i="1"/>
  <c r="F104" i="1"/>
  <c r="E104" i="1"/>
  <c r="G104" i="1" s="1"/>
  <c r="P103" i="1"/>
  <c r="L103" i="1"/>
  <c r="E103" i="1"/>
  <c r="G103" i="1" s="1"/>
  <c r="M103" i="1" s="1"/>
  <c r="R102" i="1"/>
  <c r="O102" i="1"/>
  <c r="K102" i="1"/>
  <c r="S102" i="1" s="1"/>
  <c r="J102" i="1"/>
  <c r="H102" i="1"/>
  <c r="L102" i="1" s="1"/>
  <c r="G102" i="1"/>
  <c r="M102" i="1" s="1"/>
  <c r="E102" i="1"/>
  <c r="Q101" i="1"/>
  <c r="P101" i="1"/>
  <c r="L101" i="1"/>
  <c r="K101" i="1"/>
  <c r="J101" i="1"/>
  <c r="R101" i="1" s="1"/>
  <c r="H101" i="1"/>
  <c r="F101" i="1"/>
  <c r="E101" i="1"/>
  <c r="G101" i="1" s="1"/>
  <c r="P100" i="1"/>
  <c r="K100" i="1"/>
  <c r="L100" i="1" s="1"/>
  <c r="J100" i="1"/>
  <c r="J98" i="1" s="1"/>
  <c r="H100" i="1"/>
  <c r="F100" i="1"/>
  <c r="F98" i="1" s="1"/>
  <c r="E100" i="1"/>
  <c r="G100" i="1" s="1"/>
  <c r="M100" i="1" s="1"/>
  <c r="P99" i="1"/>
  <c r="N99" i="1"/>
  <c r="M99" i="1"/>
  <c r="L99" i="1"/>
  <c r="G99" i="1"/>
  <c r="E99" i="1"/>
  <c r="O98" i="1"/>
  <c r="I98" i="1"/>
  <c r="H98" i="1"/>
  <c r="D98" i="1"/>
  <c r="C98" i="1"/>
  <c r="P97" i="1"/>
  <c r="L97" i="1"/>
  <c r="H97" i="1"/>
  <c r="M97" i="1" s="1"/>
  <c r="G97" i="1"/>
  <c r="E97" i="1"/>
  <c r="P96" i="1"/>
  <c r="G96" i="1"/>
  <c r="E96" i="1"/>
  <c r="K95" i="1"/>
  <c r="S95" i="1" s="1"/>
  <c r="J95" i="1"/>
  <c r="H95" i="1"/>
  <c r="L95" i="1" s="1"/>
  <c r="F95" i="1"/>
  <c r="E95" i="1"/>
  <c r="G95" i="1" s="1"/>
  <c r="P94" i="1"/>
  <c r="E94" i="1"/>
  <c r="G94" i="1" s="1"/>
  <c r="P93" i="1"/>
  <c r="G93" i="1"/>
  <c r="E93" i="1"/>
  <c r="P92" i="1"/>
  <c r="E92" i="1"/>
  <c r="E90" i="1" s="1"/>
  <c r="G90" i="1" s="1"/>
  <c r="P91" i="1"/>
  <c r="L91" i="1"/>
  <c r="H91" i="1"/>
  <c r="M91" i="1" s="1"/>
  <c r="G91" i="1"/>
  <c r="E91" i="1"/>
  <c r="O90" i="1"/>
  <c r="K90" i="1"/>
  <c r="J90" i="1"/>
  <c r="I90" i="1"/>
  <c r="F90" i="1"/>
  <c r="D90" i="1"/>
  <c r="C90" i="1"/>
  <c r="P89" i="1"/>
  <c r="M89" i="1"/>
  <c r="L89" i="1"/>
  <c r="N89" i="1" s="1"/>
  <c r="G89" i="1"/>
  <c r="F89" i="1"/>
  <c r="E89" i="1"/>
  <c r="O88" i="1"/>
  <c r="K88" i="1"/>
  <c r="P88" i="1" s="1"/>
  <c r="J88" i="1"/>
  <c r="R88" i="1" s="1"/>
  <c r="H88" i="1"/>
  <c r="G88" i="1"/>
  <c r="S88" i="1" s="1"/>
  <c r="F88" i="1"/>
  <c r="E88" i="1"/>
  <c r="P87" i="1"/>
  <c r="L87" i="1"/>
  <c r="H87" i="1"/>
  <c r="G87" i="1"/>
  <c r="M87" i="1" s="1"/>
  <c r="N87" i="1" s="1"/>
  <c r="F87" i="1"/>
  <c r="E87" i="1"/>
  <c r="Q86" i="1"/>
  <c r="P86" i="1"/>
  <c r="O86" i="1"/>
  <c r="K86" i="1"/>
  <c r="J86" i="1"/>
  <c r="R86" i="1" s="1"/>
  <c r="H86" i="1"/>
  <c r="L86" i="1" s="1"/>
  <c r="N86" i="1" s="1"/>
  <c r="G86" i="1"/>
  <c r="S86" i="1" s="1"/>
  <c r="F86" i="1"/>
  <c r="E86" i="1"/>
  <c r="O85" i="1"/>
  <c r="K85" i="1"/>
  <c r="P85" i="1" s="1"/>
  <c r="J85" i="1"/>
  <c r="R85" i="1" s="1"/>
  <c r="H85" i="1"/>
  <c r="L85" i="1" s="1"/>
  <c r="G85" i="1"/>
  <c r="M85" i="1" s="1"/>
  <c r="F85" i="1"/>
  <c r="E85" i="1"/>
  <c r="Q84" i="1"/>
  <c r="L84" i="1"/>
  <c r="N84" i="1" s="1"/>
  <c r="K84" i="1"/>
  <c r="S84" i="1" s="1"/>
  <c r="J84" i="1"/>
  <c r="R84" i="1" s="1"/>
  <c r="H84" i="1"/>
  <c r="G84" i="1"/>
  <c r="M84" i="1" s="1"/>
  <c r="F84" i="1"/>
  <c r="E84" i="1"/>
  <c r="O83" i="1"/>
  <c r="K83" i="1"/>
  <c r="P83" i="1" s="1"/>
  <c r="J83" i="1"/>
  <c r="H83" i="1"/>
  <c r="Q83" i="1" s="1"/>
  <c r="F83" i="1"/>
  <c r="E83" i="1"/>
  <c r="G83" i="1" s="1"/>
  <c r="Q82" i="1"/>
  <c r="O82" i="1"/>
  <c r="P82" i="1" s="1"/>
  <c r="L82" i="1"/>
  <c r="K82" i="1"/>
  <c r="S82" i="1" s="1"/>
  <c r="J82" i="1"/>
  <c r="R82" i="1" s="1"/>
  <c r="H82" i="1"/>
  <c r="G82" i="1"/>
  <c r="M82" i="1" s="1"/>
  <c r="F82" i="1"/>
  <c r="E82" i="1"/>
  <c r="O81" i="1"/>
  <c r="L81" i="1"/>
  <c r="K81" i="1"/>
  <c r="J81" i="1"/>
  <c r="H81" i="1"/>
  <c r="F81" i="1"/>
  <c r="E81" i="1"/>
  <c r="G81" i="1" s="1"/>
  <c r="M81" i="1" s="1"/>
  <c r="N81" i="1" s="1"/>
  <c r="P80" i="1"/>
  <c r="O80" i="1"/>
  <c r="M80" i="1"/>
  <c r="K80" i="1"/>
  <c r="S80" i="1" s="1"/>
  <c r="J80" i="1"/>
  <c r="H80" i="1"/>
  <c r="G80" i="1"/>
  <c r="R80" i="1" s="1"/>
  <c r="F80" i="1"/>
  <c r="E80" i="1"/>
  <c r="O79" i="1"/>
  <c r="K79" i="1"/>
  <c r="J79" i="1"/>
  <c r="H79" i="1"/>
  <c r="L79" i="1" s="1"/>
  <c r="F79" i="1"/>
  <c r="E79" i="1"/>
  <c r="G79" i="1" s="1"/>
  <c r="K78" i="1"/>
  <c r="Q78" i="1" s="1"/>
  <c r="J78" i="1"/>
  <c r="H78" i="1"/>
  <c r="L78" i="1" s="1"/>
  <c r="G78" i="1"/>
  <c r="M78" i="1" s="1"/>
  <c r="F78" i="1"/>
  <c r="E78" i="1"/>
  <c r="P77" i="1"/>
  <c r="L77" i="1"/>
  <c r="F77" i="1"/>
  <c r="E77" i="1"/>
  <c r="G77" i="1" s="1"/>
  <c r="M77" i="1" s="1"/>
  <c r="P76" i="1"/>
  <c r="O76" i="1"/>
  <c r="M76" i="1"/>
  <c r="K76" i="1"/>
  <c r="S76" i="1" s="1"/>
  <c r="J76" i="1"/>
  <c r="R76" i="1" s="1"/>
  <c r="H76" i="1"/>
  <c r="G76" i="1"/>
  <c r="E76" i="1"/>
  <c r="Q75" i="1"/>
  <c r="P75" i="1"/>
  <c r="O75" i="1"/>
  <c r="M75" i="1"/>
  <c r="K75" i="1"/>
  <c r="S75" i="1" s="1"/>
  <c r="J75" i="1"/>
  <c r="R75" i="1" s="1"/>
  <c r="H75" i="1"/>
  <c r="L75" i="1" s="1"/>
  <c r="N75" i="1" s="1"/>
  <c r="G75" i="1"/>
  <c r="F75" i="1"/>
  <c r="E75" i="1"/>
  <c r="P74" i="1"/>
  <c r="L74" i="1"/>
  <c r="K74" i="1"/>
  <c r="Q74" i="1" s="1"/>
  <c r="J74" i="1"/>
  <c r="H74" i="1"/>
  <c r="F74" i="1"/>
  <c r="E74" i="1"/>
  <c r="G74" i="1" s="1"/>
  <c r="P73" i="1"/>
  <c r="O73" i="1"/>
  <c r="L73" i="1"/>
  <c r="N73" i="1" s="1"/>
  <c r="K73" i="1"/>
  <c r="S73" i="1" s="1"/>
  <c r="J73" i="1"/>
  <c r="R73" i="1" s="1"/>
  <c r="H73" i="1"/>
  <c r="G73" i="1"/>
  <c r="M73" i="1" s="1"/>
  <c r="F73" i="1"/>
  <c r="E73" i="1"/>
  <c r="S72" i="1"/>
  <c r="P72" i="1"/>
  <c r="M72" i="1"/>
  <c r="K72" i="1"/>
  <c r="J72" i="1"/>
  <c r="H72" i="1"/>
  <c r="Q72" i="1" s="1"/>
  <c r="G72" i="1"/>
  <c r="R72" i="1" s="1"/>
  <c r="F72" i="1"/>
  <c r="E72" i="1"/>
  <c r="P71" i="1"/>
  <c r="L71" i="1"/>
  <c r="E71" i="1"/>
  <c r="G71" i="1" s="1"/>
  <c r="M71" i="1" s="1"/>
  <c r="O70" i="1"/>
  <c r="K70" i="1"/>
  <c r="S70" i="1" s="1"/>
  <c r="J70" i="1"/>
  <c r="H70" i="1"/>
  <c r="L70" i="1" s="1"/>
  <c r="F70" i="1"/>
  <c r="E70" i="1"/>
  <c r="G70" i="1" s="1"/>
  <c r="M70" i="1" s="1"/>
  <c r="P69" i="1"/>
  <c r="L69" i="1"/>
  <c r="G69" i="1"/>
  <c r="M69" i="1" s="1"/>
  <c r="N69" i="1" s="1"/>
  <c r="E69" i="1"/>
  <c r="P68" i="1"/>
  <c r="K68" i="1"/>
  <c r="J68" i="1"/>
  <c r="R68" i="1" s="1"/>
  <c r="H68" i="1"/>
  <c r="Q68" i="1" s="1"/>
  <c r="F68" i="1"/>
  <c r="G68" i="1" s="1"/>
  <c r="M68" i="1" s="1"/>
  <c r="E68" i="1"/>
  <c r="K67" i="1"/>
  <c r="S67" i="1" s="1"/>
  <c r="J67" i="1"/>
  <c r="H67" i="1"/>
  <c r="L67" i="1" s="1"/>
  <c r="F67" i="1"/>
  <c r="E67" i="1"/>
  <c r="G67" i="1" s="1"/>
  <c r="Q66" i="1"/>
  <c r="P66" i="1"/>
  <c r="L66" i="1"/>
  <c r="H66" i="1"/>
  <c r="G66" i="1"/>
  <c r="S66" i="1" s="1"/>
  <c r="F66" i="1"/>
  <c r="E66" i="1"/>
  <c r="O65" i="1"/>
  <c r="L65" i="1"/>
  <c r="N65" i="1" s="1"/>
  <c r="K65" i="1"/>
  <c r="S65" i="1" s="1"/>
  <c r="J65" i="1"/>
  <c r="R65" i="1" s="1"/>
  <c r="H65" i="1"/>
  <c r="F65" i="1"/>
  <c r="E65" i="1"/>
  <c r="G65" i="1" s="1"/>
  <c r="M65" i="1" s="1"/>
  <c r="P64" i="1"/>
  <c r="O64" i="1"/>
  <c r="M64" i="1"/>
  <c r="K64" i="1"/>
  <c r="S64" i="1" s="1"/>
  <c r="J64" i="1"/>
  <c r="R64" i="1" s="1"/>
  <c r="H64" i="1"/>
  <c r="G64" i="1"/>
  <c r="F64" i="1"/>
  <c r="E64" i="1"/>
  <c r="P63" i="1"/>
  <c r="L63" i="1"/>
  <c r="H63" i="1"/>
  <c r="F63" i="1"/>
  <c r="E63" i="1"/>
  <c r="G63" i="1" s="1"/>
  <c r="P62" i="1"/>
  <c r="O62" i="1"/>
  <c r="L62" i="1"/>
  <c r="K62" i="1"/>
  <c r="S62" i="1" s="1"/>
  <c r="J62" i="1"/>
  <c r="R62" i="1" s="1"/>
  <c r="H62" i="1"/>
  <c r="G62" i="1"/>
  <c r="M62" i="1" s="1"/>
  <c r="E62" i="1"/>
  <c r="O61" i="1"/>
  <c r="K61" i="1"/>
  <c r="J61" i="1"/>
  <c r="H61" i="1"/>
  <c r="L61" i="1" s="1"/>
  <c r="E61" i="1"/>
  <c r="G61" i="1" s="1"/>
  <c r="O60" i="1"/>
  <c r="L60" i="1"/>
  <c r="K60" i="1"/>
  <c r="S60" i="1" s="1"/>
  <c r="J60" i="1"/>
  <c r="H60" i="1"/>
  <c r="F60" i="1"/>
  <c r="E60" i="1"/>
  <c r="G60" i="1" s="1"/>
  <c r="O59" i="1"/>
  <c r="P59" i="1" s="1"/>
  <c r="K59" i="1"/>
  <c r="J59" i="1"/>
  <c r="H59" i="1"/>
  <c r="L59" i="1" s="1"/>
  <c r="F59" i="1"/>
  <c r="E59" i="1"/>
  <c r="G59" i="1" s="1"/>
  <c r="M59" i="1" s="1"/>
  <c r="P58" i="1"/>
  <c r="L58" i="1"/>
  <c r="G58" i="1"/>
  <c r="M58" i="1" s="1"/>
  <c r="E58" i="1"/>
  <c r="O57" i="1"/>
  <c r="K57" i="1"/>
  <c r="S57" i="1" s="1"/>
  <c r="J57" i="1"/>
  <c r="R57" i="1" s="1"/>
  <c r="H57" i="1"/>
  <c r="Q57" i="1" s="1"/>
  <c r="F57" i="1"/>
  <c r="E57" i="1"/>
  <c r="G57" i="1" s="1"/>
  <c r="M57" i="1" s="1"/>
  <c r="O56" i="1"/>
  <c r="O55" i="1" s="1"/>
  <c r="L56" i="1"/>
  <c r="K56" i="1"/>
  <c r="Q56" i="1" s="1"/>
  <c r="J56" i="1"/>
  <c r="H56" i="1"/>
  <c r="F56" i="1"/>
  <c r="F55" i="1" s="1"/>
  <c r="E56" i="1"/>
  <c r="G56" i="1" s="1"/>
  <c r="J55" i="1"/>
  <c r="I55" i="1"/>
  <c r="D55" i="1"/>
  <c r="C55" i="1"/>
  <c r="P54" i="1"/>
  <c r="L54" i="1"/>
  <c r="F54" i="1"/>
  <c r="E54" i="1"/>
  <c r="G54" i="1" s="1"/>
  <c r="M54" i="1" s="1"/>
  <c r="N54" i="1" s="1"/>
  <c r="P53" i="1"/>
  <c r="O53" i="1"/>
  <c r="K53" i="1"/>
  <c r="J53" i="1"/>
  <c r="H53" i="1"/>
  <c r="Q53" i="1" s="1"/>
  <c r="F53" i="1"/>
  <c r="E53" i="1"/>
  <c r="G53" i="1" s="1"/>
  <c r="P52" i="1"/>
  <c r="O52" i="1"/>
  <c r="K52" i="1"/>
  <c r="S52" i="1" s="1"/>
  <c r="J52" i="1"/>
  <c r="H52" i="1"/>
  <c r="F52" i="1"/>
  <c r="E52" i="1"/>
  <c r="G52" i="1" s="1"/>
  <c r="O51" i="1"/>
  <c r="K51" i="1"/>
  <c r="S51" i="1" s="1"/>
  <c r="J51" i="1"/>
  <c r="R51" i="1" s="1"/>
  <c r="H51" i="1"/>
  <c r="Q51" i="1" s="1"/>
  <c r="E51" i="1"/>
  <c r="G51" i="1" s="1"/>
  <c r="M51" i="1" s="1"/>
  <c r="P50" i="1"/>
  <c r="L50" i="1"/>
  <c r="E50" i="1"/>
  <c r="G50" i="1" s="1"/>
  <c r="M50" i="1" s="1"/>
  <c r="N50" i="1" s="1"/>
  <c r="P49" i="1"/>
  <c r="K49" i="1"/>
  <c r="J49" i="1"/>
  <c r="H49" i="1"/>
  <c r="L49" i="1" s="1"/>
  <c r="F49" i="1"/>
  <c r="E49" i="1"/>
  <c r="G49" i="1" s="1"/>
  <c r="Q48" i="1"/>
  <c r="P48" i="1"/>
  <c r="O48" i="1"/>
  <c r="M48" i="1"/>
  <c r="L48" i="1"/>
  <c r="N48" i="1" s="1"/>
  <c r="K48" i="1"/>
  <c r="J48" i="1"/>
  <c r="R48" i="1" s="1"/>
  <c r="H48" i="1"/>
  <c r="G48" i="1"/>
  <c r="S48" i="1" s="1"/>
  <c r="F48" i="1"/>
  <c r="E48" i="1"/>
  <c r="P47" i="1"/>
  <c r="H47" i="1"/>
  <c r="Q47" i="1" s="1"/>
  <c r="G47" i="1"/>
  <c r="S47" i="1" s="1"/>
  <c r="F47" i="1"/>
  <c r="E47" i="1"/>
  <c r="Q46" i="1"/>
  <c r="P46" i="1"/>
  <c r="O46" i="1"/>
  <c r="L46" i="1"/>
  <c r="J46" i="1"/>
  <c r="E46" i="1"/>
  <c r="G46" i="1" s="1"/>
  <c r="Q45" i="1"/>
  <c r="K45" i="1"/>
  <c r="H45" i="1"/>
  <c r="L45" i="1" s="1"/>
  <c r="F45" i="1"/>
  <c r="E45" i="1"/>
  <c r="G45" i="1" s="1"/>
  <c r="P44" i="1"/>
  <c r="O44" i="1"/>
  <c r="M44" i="1"/>
  <c r="K44" i="1"/>
  <c r="S44" i="1" s="1"/>
  <c r="J44" i="1"/>
  <c r="H44" i="1"/>
  <c r="G44" i="1"/>
  <c r="R44" i="1" s="1"/>
  <c r="F44" i="1"/>
  <c r="E44" i="1"/>
  <c r="P43" i="1"/>
  <c r="M43" i="1"/>
  <c r="K43" i="1"/>
  <c r="S43" i="1" s="1"/>
  <c r="J43" i="1"/>
  <c r="R43" i="1" s="1"/>
  <c r="H43" i="1"/>
  <c r="Q43" i="1" s="1"/>
  <c r="G43" i="1"/>
  <c r="F43" i="1"/>
  <c r="E43" i="1"/>
  <c r="K42" i="1"/>
  <c r="P42" i="1" s="1"/>
  <c r="H42" i="1"/>
  <c r="L42" i="1" s="1"/>
  <c r="E42" i="1"/>
  <c r="G42" i="1" s="1"/>
  <c r="O41" i="1"/>
  <c r="K41" i="1"/>
  <c r="Q41" i="1" s="1"/>
  <c r="J41" i="1"/>
  <c r="R41" i="1" s="1"/>
  <c r="H41" i="1"/>
  <c r="L41" i="1" s="1"/>
  <c r="F41" i="1"/>
  <c r="E41" i="1"/>
  <c r="G41" i="1" s="1"/>
  <c r="K40" i="1"/>
  <c r="P40" i="1" s="1"/>
  <c r="E40" i="1"/>
  <c r="G40" i="1" s="1"/>
  <c r="M40" i="1" s="1"/>
  <c r="O39" i="1"/>
  <c r="K39" i="1"/>
  <c r="P39" i="1" s="1"/>
  <c r="J39" i="1"/>
  <c r="R39" i="1" s="1"/>
  <c r="H39" i="1"/>
  <c r="L39" i="1" s="1"/>
  <c r="G39" i="1"/>
  <c r="M39" i="1" s="1"/>
  <c r="F39" i="1"/>
  <c r="E39" i="1"/>
  <c r="O38" i="1"/>
  <c r="K38" i="1"/>
  <c r="S38" i="1" s="1"/>
  <c r="J38" i="1"/>
  <c r="R38" i="1" s="1"/>
  <c r="H38" i="1"/>
  <c r="L38" i="1" s="1"/>
  <c r="N38" i="1" s="1"/>
  <c r="F38" i="1"/>
  <c r="E38" i="1"/>
  <c r="G38" i="1" s="1"/>
  <c r="M38" i="1" s="1"/>
  <c r="M37" i="1"/>
  <c r="L37" i="1"/>
  <c r="N37" i="1" s="1"/>
  <c r="K37" i="1"/>
  <c r="J37" i="1"/>
  <c r="E37" i="1"/>
  <c r="O36" i="1"/>
  <c r="M36" i="1"/>
  <c r="K36" i="1"/>
  <c r="Q36" i="1" s="1"/>
  <c r="J36" i="1"/>
  <c r="R36" i="1" s="1"/>
  <c r="H36" i="1"/>
  <c r="L36" i="1" s="1"/>
  <c r="N36" i="1" s="1"/>
  <c r="G36" i="1"/>
  <c r="F36" i="1"/>
  <c r="E36" i="1"/>
  <c r="O35" i="1"/>
  <c r="K35" i="1"/>
  <c r="P35" i="1" s="1"/>
  <c r="J35" i="1"/>
  <c r="H35" i="1"/>
  <c r="L35" i="1" s="1"/>
  <c r="G35" i="1"/>
  <c r="M35" i="1" s="1"/>
  <c r="F35" i="1"/>
  <c r="E35" i="1"/>
  <c r="Q34" i="1"/>
  <c r="L34" i="1"/>
  <c r="K34" i="1"/>
  <c r="S34" i="1" s="1"/>
  <c r="J34" i="1"/>
  <c r="R34" i="1" s="1"/>
  <c r="H34" i="1"/>
  <c r="G34" i="1"/>
  <c r="M34" i="1" s="1"/>
  <c r="F34" i="1"/>
  <c r="E34" i="1"/>
  <c r="P33" i="1"/>
  <c r="L33" i="1"/>
  <c r="N33" i="1" s="1"/>
  <c r="E33" i="1"/>
  <c r="G33" i="1" s="1"/>
  <c r="M33" i="1" s="1"/>
  <c r="K32" i="1"/>
  <c r="Q32" i="1" s="1"/>
  <c r="J32" i="1"/>
  <c r="H32" i="1"/>
  <c r="L32" i="1" s="1"/>
  <c r="N32" i="1" s="1"/>
  <c r="G32" i="1"/>
  <c r="M32" i="1" s="1"/>
  <c r="F32" i="1"/>
  <c r="E32" i="1"/>
  <c r="Q31" i="1"/>
  <c r="P31" i="1"/>
  <c r="H31" i="1"/>
  <c r="L31" i="1" s="1"/>
  <c r="E31" i="1"/>
  <c r="G31" i="1" s="1"/>
  <c r="P30" i="1"/>
  <c r="K30" i="1"/>
  <c r="J30" i="1"/>
  <c r="R30" i="1" s="1"/>
  <c r="H30" i="1"/>
  <c r="Q30" i="1" s="1"/>
  <c r="E30" i="1"/>
  <c r="G30" i="1" s="1"/>
  <c r="O29" i="1"/>
  <c r="O20" i="1" s="1"/>
  <c r="L29" i="1"/>
  <c r="K29" i="1"/>
  <c r="J29" i="1"/>
  <c r="H29" i="1"/>
  <c r="F29" i="1"/>
  <c r="E29" i="1"/>
  <c r="G29" i="1" s="1"/>
  <c r="M29" i="1" s="1"/>
  <c r="O28" i="1"/>
  <c r="K28" i="1"/>
  <c r="Q28" i="1" s="1"/>
  <c r="J28" i="1"/>
  <c r="H28" i="1"/>
  <c r="L28" i="1" s="1"/>
  <c r="E28" i="1"/>
  <c r="G28" i="1" s="1"/>
  <c r="M28" i="1" s="1"/>
  <c r="P27" i="1"/>
  <c r="H27" i="1"/>
  <c r="L27" i="1" s="1"/>
  <c r="E27" i="1"/>
  <c r="E20" i="1" s="1"/>
  <c r="Q26" i="1"/>
  <c r="P26" i="1"/>
  <c r="H26" i="1"/>
  <c r="L26" i="1" s="1"/>
  <c r="E26" i="1"/>
  <c r="G26" i="1" s="1"/>
  <c r="O25" i="1"/>
  <c r="K25" i="1"/>
  <c r="J25" i="1"/>
  <c r="H25" i="1"/>
  <c r="L25" i="1" s="1"/>
  <c r="E25" i="1"/>
  <c r="G25" i="1" s="1"/>
  <c r="M25" i="1" s="1"/>
  <c r="P24" i="1"/>
  <c r="K24" i="1"/>
  <c r="J24" i="1"/>
  <c r="J20" i="1" s="1"/>
  <c r="H24" i="1"/>
  <c r="L24" i="1" s="1"/>
  <c r="F24" i="1"/>
  <c r="F20" i="1" s="1"/>
  <c r="F8" i="1" s="1"/>
  <c r="F7" i="1" s="1"/>
  <c r="E24" i="1"/>
  <c r="G24" i="1" s="1"/>
  <c r="Q23" i="1"/>
  <c r="P23" i="1"/>
  <c r="O23" i="1"/>
  <c r="L23" i="1"/>
  <c r="N23" i="1" s="1"/>
  <c r="K23" i="1"/>
  <c r="J23" i="1"/>
  <c r="H23" i="1"/>
  <c r="G23" i="1"/>
  <c r="M23" i="1" s="1"/>
  <c r="F23" i="1"/>
  <c r="E23" i="1"/>
  <c r="P22" i="1"/>
  <c r="K22" i="1"/>
  <c r="J22" i="1"/>
  <c r="H22" i="1"/>
  <c r="Q22" i="1" s="1"/>
  <c r="F22" i="1"/>
  <c r="E22" i="1"/>
  <c r="G22" i="1" s="1"/>
  <c r="P21" i="1"/>
  <c r="K21" i="1"/>
  <c r="Q21" i="1" s="1"/>
  <c r="I21" i="1"/>
  <c r="H21" i="1"/>
  <c r="F21" i="1"/>
  <c r="E21" i="1"/>
  <c r="G21" i="1" s="1"/>
  <c r="H20" i="1"/>
  <c r="D20" i="1"/>
  <c r="C20" i="1"/>
  <c r="O19" i="1"/>
  <c r="K19" i="1"/>
  <c r="J19" i="1"/>
  <c r="H19" i="1"/>
  <c r="Q19" i="1" s="1"/>
  <c r="F19" i="1"/>
  <c r="E19" i="1"/>
  <c r="G19" i="1" s="1"/>
  <c r="M19" i="1" s="1"/>
  <c r="K18" i="1"/>
  <c r="S18" i="1" s="1"/>
  <c r="J18" i="1"/>
  <c r="R18" i="1" s="1"/>
  <c r="F18" i="1"/>
  <c r="E18" i="1"/>
  <c r="G18" i="1" s="1"/>
  <c r="M18" i="1" s="1"/>
  <c r="K17" i="1"/>
  <c r="P17" i="1" s="1"/>
  <c r="J17" i="1"/>
  <c r="R17" i="1" s="1"/>
  <c r="F17" i="1"/>
  <c r="E17" i="1"/>
  <c r="G17" i="1" s="1"/>
  <c r="O16" i="1"/>
  <c r="K16" i="1"/>
  <c r="J16" i="1"/>
  <c r="H16" i="1"/>
  <c r="L16" i="1" s="1"/>
  <c r="E16" i="1"/>
  <c r="E9" i="1" s="1"/>
  <c r="Q15" i="1"/>
  <c r="O15" i="1"/>
  <c r="L15" i="1"/>
  <c r="N15" i="1" s="1"/>
  <c r="K15" i="1"/>
  <c r="S15" i="1" s="1"/>
  <c r="J15" i="1"/>
  <c r="R15" i="1" s="1"/>
  <c r="H15" i="1"/>
  <c r="G15" i="1"/>
  <c r="M15" i="1" s="1"/>
  <c r="E15" i="1"/>
  <c r="O14" i="1"/>
  <c r="K14" i="1"/>
  <c r="J14" i="1"/>
  <c r="H14" i="1"/>
  <c r="Q14" i="1" s="1"/>
  <c r="E14" i="1"/>
  <c r="G14" i="1" s="1"/>
  <c r="O13" i="1"/>
  <c r="K13" i="1"/>
  <c r="J13" i="1"/>
  <c r="H13" i="1"/>
  <c r="L13" i="1" s="1"/>
  <c r="E13" i="1"/>
  <c r="G13" i="1" s="1"/>
  <c r="M13" i="1" s="1"/>
  <c r="O12" i="1"/>
  <c r="K12" i="1"/>
  <c r="P12" i="1" s="1"/>
  <c r="J12" i="1"/>
  <c r="R12" i="1" s="1"/>
  <c r="H12" i="1"/>
  <c r="L12" i="1" s="1"/>
  <c r="N12" i="1" s="1"/>
  <c r="G12" i="1"/>
  <c r="M12" i="1" s="1"/>
  <c r="E12" i="1"/>
  <c r="P11" i="1"/>
  <c r="O11" i="1"/>
  <c r="K11" i="1"/>
  <c r="S11" i="1" s="1"/>
  <c r="J11" i="1"/>
  <c r="R11" i="1" s="1"/>
  <c r="H11" i="1"/>
  <c r="L11" i="1" s="1"/>
  <c r="G11" i="1"/>
  <c r="M11" i="1" s="1"/>
  <c r="E11" i="1"/>
  <c r="O10" i="1"/>
  <c r="K10" i="1"/>
  <c r="J10" i="1"/>
  <c r="H10" i="1"/>
  <c r="L10" i="1" s="1"/>
  <c r="E10" i="1"/>
  <c r="G10" i="1" s="1"/>
  <c r="O9" i="1"/>
  <c r="O8" i="1" s="1"/>
  <c r="O7" i="1" s="1"/>
  <c r="J9" i="1"/>
  <c r="I9" i="1"/>
  <c r="F9" i="1"/>
  <c r="D9" i="1"/>
  <c r="C9" i="1"/>
  <c r="D8" i="1"/>
  <c r="C8" i="1"/>
  <c r="D7" i="1"/>
  <c r="R28" i="1" l="1"/>
  <c r="S19" i="1"/>
  <c r="R16" i="1"/>
  <c r="N25" i="1"/>
  <c r="N45" i="1"/>
  <c r="N59" i="1"/>
  <c r="S83" i="1"/>
  <c r="M83" i="1"/>
  <c r="L98" i="1"/>
  <c r="N100" i="1"/>
  <c r="N98" i="1" s="1"/>
  <c r="C7" i="1"/>
  <c r="R25" i="1"/>
  <c r="S45" i="1"/>
  <c r="R74" i="1"/>
  <c r="R79" i="1"/>
  <c r="M79" i="1"/>
  <c r="N85" i="1"/>
  <c r="P98" i="1"/>
  <c r="M17" i="1"/>
  <c r="S17" i="1"/>
  <c r="S25" i="1"/>
  <c r="N56" i="1"/>
  <c r="M94" i="1"/>
  <c r="H94" i="1"/>
  <c r="L94" i="1" s="1"/>
  <c r="M101" i="1"/>
  <c r="N101" i="1" s="1"/>
  <c r="S101" i="1"/>
  <c r="N103" i="1"/>
  <c r="N114" i="1"/>
  <c r="R22" i="1"/>
  <c r="N16" i="1"/>
  <c r="N97" i="1"/>
  <c r="N116" i="1"/>
  <c r="N11" i="1"/>
  <c r="S16" i="1"/>
  <c r="M46" i="1"/>
  <c r="N46" i="1" s="1"/>
  <c r="S46" i="1"/>
  <c r="N79" i="1"/>
  <c r="R81" i="1"/>
  <c r="R83" i="1"/>
  <c r="S26" i="1"/>
  <c r="R26" i="1"/>
  <c r="M26" i="1"/>
  <c r="S29" i="1"/>
  <c r="N35" i="1"/>
  <c r="S41" i="1"/>
  <c r="M41" i="1"/>
  <c r="R46" i="1"/>
  <c r="R60" i="1"/>
  <c r="M60" i="1"/>
  <c r="N60" i="1" s="1"/>
  <c r="M67" i="1"/>
  <c r="R67" i="1"/>
  <c r="S81" i="1"/>
  <c r="M95" i="1"/>
  <c r="N95" i="1" s="1"/>
  <c r="R95" i="1"/>
  <c r="M104" i="1"/>
  <c r="N104" i="1" s="1"/>
  <c r="S104" i="1"/>
  <c r="S61" i="1"/>
  <c r="N13" i="1"/>
  <c r="R13" i="1"/>
  <c r="S13" i="1"/>
  <c r="N39" i="1"/>
  <c r="R53" i="1"/>
  <c r="S53" i="1"/>
  <c r="M53" i="1"/>
  <c r="N34" i="1"/>
  <c r="R98" i="1"/>
  <c r="S14" i="1"/>
  <c r="S21" i="1"/>
  <c r="R21" i="1"/>
  <c r="M21" i="1"/>
  <c r="R29" i="1"/>
  <c r="N26" i="1"/>
  <c r="N29" i="1"/>
  <c r="N62" i="1"/>
  <c r="N70" i="1"/>
  <c r="S79" i="1"/>
  <c r="R90" i="1"/>
  <c r="M108" i="1"/>
  <c r="M105" i="1" s="1"/>
  <c r="N41" i="1"/>
  <c r="N67" i="1"/>
  <c r="R70" i="1"/>
  <c r="S90" i="1"/>
  <c r="P105" i="1"/>
  <c r="N111" i="1"/>
  <c r="R115" i="1"/>
  <c r="M115" i="1"/>
  <c r="S30" i="1"/>
  <c r="M30" i="1"/>
  <c r="R52" i="1"/>
  <c r="M52" i="1"/>
  <c r="S63" i="1"/>
  <c r="R63" i="1"/>
  <c r="M63" i="1"/>
  <c r="N63" i="1" s="1"/>
  <c r="G105" i="1"/>
  <c r="G9" i="1"/>
  <c r="R9" i="1" s="1"/>
  <c r="R10" i="1"/>
  <c r="M10" i="1"/>
  <c r="S22" i="1"/>
  <c r="M22" i="1"/>
  <c r="M24" i="1"/>
  <c r="N24" i="1" s="1"/>
  <c r="S24" i="1"/>
  <c r="S49" i="1"/>
  <c r="M49" i="1"/>
  <c r="N77" i="1"/>
  <c r="S109" i="1"/>
  <c r="M109" i="1"/>
  <c r="N109" i="1" s="1"/>
  <c r="N108" i="1" s="1"/>
  <c r="G108" i="1"/>
  <c r="L9" i="1"/>
  <c r="N10" i="1"/>
  <c r="M42" i="1"/>
  <c r="S42" i="1"/>
  <c r="R42" i="1"/>
  <c r="N71" i="1"/>
  <c r="N115" i="1"/>
  <c r="N42" i="1"/>
  <c r="N49" i="1"/>
  <c r="R61" i="1"/>
  <c r="M61" i="1"/>
  <c r="N61" i="1" s="1"/>
  <c r="S10" i="1"/>
  <c r="M31" i="1"/>
  <c r="N31" i="1" s="1"/>
  <c r="S31" i="1"/>
  <c r="R31" i="1"/>
  <c r="R49" i="1"/>
  <c r="N58" i="1"/>
  <c r="N102" i="1"/>
  <c r="R109" i="1"/>
  <c r="N28" i="1"/>
  <c r="R19" i="1"/>
  <c r="S56" i="1"/>
  <c r="M56" i="1"/>
  <c r="G55" i="1"/>
  <c r="R55" i="1" s="1"/>
  <c r="S68" i="1"/>
  <c r="N82" i="1"/>
  <c r="L105" i="1"/>
  <c r="N106" i="1"/>
  <c r="N78" i="1"/>
  <c r="N113" i="1"/>
  <c r="R45" i="1"/>
  <c r="M45" i="1"/>
  <c r="M74" i="1"/>
  <c r="N74" i="1" s="1"/>
  <c r="S74" i="1"/>
  <c r="K105" i="1"/>
  <c r="R14" i="1"/>
  <c r="M14" i="1"/>
  <c r="R56" i="1"/>
  <c r="H9" i="1"/>
  <c r="Q12" i="1"/>
  <c r="Q17" i="1"/>
  <c r="Q24" i="1"/>
  <c r="S28" i="1"/>
  <c r="R32" i="1"/>
  <c r="Q35" i="1"/>
  <c r="S36" i="1"/>
  <c r="Q39" i="1"/>
  <c r="Q42" i="1"/>
  <c r="P67" i="1"/>
  <c r="R78" i="1"/>
  <c r="L83" i="1"/>
  <c r="N83" i="1" s="1"/>
  <c r="Q85" i="1"/>
  <c r="Q88" i="1"/>
  <c r="N91" i="1"/>
  <c r="P95" i="1"/>
  <c r="P90" i="1" s="1"/>
  <c r="J8" i="1"/>
  <c r="L22" i="1"/>
  <c r="N22" i="1" s="1"/>
  <c r="R24" i="1"/>
  <c r="Q27" i="1"/>
  <c r="S32" i="1"/>
  <c r="P34" i="1"/>
  <c r="R35" i="1"/>
  <c r="P38" i="1"/>
  <c r="L53" i="1"/>
  <c r="M66" i="1"/>
  <c r="N66" i="1" s="1"/>
  <c r="Q67" i="1"/>
  <c r="P70" i="1"/>
  <c r="L72" i="1"/>
  <c r="N72" i="1" s="1"/>
  <c r="S78" i="1"/>
  <c r="P84" i="1"/>
  <c r="Q95" i="1"/>
  <c r="S12" i="1"/>
  <c r="S35" i="1"/>
  <c r="Q38" i="1"/>
  <c r="S39" i="1"/>
  <c r="E55" i="1"/>
  <c r="E8" i="1" s="1"/>
  <c r="E7" i="1" s="1"/>
  <c r="Q70" i="1"/>
  <c r="S85" i="1"/>
  <c r="K9" i="1"/>
  <c r="Q11" i="1"/>
  <c r="P16" i="1"/>
  <c r="I20" i="1"/>
  <c r="I8" i="1" s="1"/>
  <c r="I7" i="1" s="1"/>
  <c r="L52" i="1"/>
  <c r="Q62" i="1"/>
  <c r="Q73" i="1"/>
  <c r="G92" i="1"/>
  <c r="Q100" i="1"/>
  <c r="H108" i="1"/>
  <c r="H105" i="1" s="1"/>
  <c r="Q16" i="1"/>
  <c r="L21" i="1"/>
  <c r="N21" i="1" s="1"/>
  <c r="R23" i="1"/>
  <c r="L30" i="1"/>
  <c r="P41" i="1"/>
  <c r="E98" i="1"/>
  <c r="G98" i="1" s="1"/>
  <c r="R100" i="1"/>
  <c r="J108" i="1"/>
  <c r="P10" i="1"/>
  <c r="L14" i="1"/>
  <c r="L19" i="1"/>
  <c r="N19" i="1" s="1"/>
  <c r="K20" i="1"/>
  <c r="S23" i="1"/>
  <c r="L51" i="1"/>
  <c r="N51" i="1" s="1"/>
  <c r="H55" i="1"/>
  <c r="L57" i="1"/>
  <c r="N57" i="1" s="1"/>
  <c r="P61" i="1"/>
  <c r="R66" i="1"/>
  <c r="S100" i="1"/>
  <c r="K108" i="1"/>
  <c r="Q10" i="1"/>
  <c r="P15" i="1"/>
  <c r="L40" i="1"/>
  <c r="N40" i="1" s="1"/>
  <c r="L44" i="1"/>
  <c r="N44" i="1" s="1"/>
  <c r="P45" i="1"/>
  <c r="Q61" i="1"/>
  <c r="L64" i="1"/>
  <c r="N64" i="1" s="1"/>
  <c r="L76" i="1"/>
  <c r="N76" i="1" s="1"/>
  <c r="L80" i="1"/>
  <c r="N80" i="1" s="1"/>
  <c r="H96" i="1"/>
  <c r="L96" i="1" s="1"/>
  <c r="L18" i="1"/>
  <c r="N18" i="1" s="1"/>
  <c r="Q52" i="1"/>
  <c r="K55" i="1"/>
  <c r="P60" i="1"/>
  <c r="P65" i="1"/>
  <c r="P81" i="1"/>
  <c r="P14" i="1"/>
  <c r="P19" i="1"/>
  <c r="L43" i="1"/>
  <c r="N43" i="1" s="1"/>
  <c r="L47" i="1"/>
  <c r="P51" i="1"/>
  <c r="P57" i="1"/>
  <c r="Q60" i="1"/>
  <c r="Q65" i="1"/>
  <c r="Q81" i="1"/>
  <c r="M47" i="1"/>
  <c r="L68" i="1"/>
  <c r="N68" i="1" s="1"/>
  <c r="K98" i="1"/>
  <c r="G16" i="1"/>
  <c r="M16" i="1" s="1"/>
  <c r="P18" i="1"/>
  <c r="G27" i="1"/>
  <c r="P29" i="1"/>
  <c r="Q44" i="1"/>
  <c r="P56" i="1"/>
  <c r="Q64" i="1"/>
  <c r="Q76" i="1"/>
  <c r="Q80" i="1"/>
  <c r="H93" i="1"/>
  <c r="L93" i="1" s="1"/>
  <c r="P13" i="1"/>
  <c r="L17" i="1"/>
  <c r="N17" i="1" s="1"/>
  <c r="Q18" i="1"/>
  <c r="P25" i="1"/>
  <c r="P20" i="1" s="1"/>
  <c r="Q29" i="1"/>
  <c r="P79" i="1"/>
  <c r="P102" i="1"/>
  <c r="Q13" i="1"/>
  <c r="Q25" i="1"/>
  <c r="P28" i="1"/>
  <c r="P36" i="1"/>
  <c r="Q79" i="1"/>
  <c r="Q102" i="1"/>
  <c r="P32" i="1"/>
  <c r="R47" i="1"/>
  <c r="P78" i="1"/>
  <c r="Q20" i="1" l="1"/>
  <c r="N14" i="1"/>
  <c r="N47" i="1"/>
  <c r="N20" i="1" s="1"/>
  <c r="P9" i="1"/>
  <c r="P55" i="1"/>
  <c r="R108" i="1"/>
  <c r="J105" i="1"/>
  <c r="N53" i="1"/>
  <c r="M98" i="1"/>
  <c r="M96" i="1"/>
  <c r="N96" i="1"/>
  <c r="H92" i="1"/>
  <c r="N52" i="1"/>
  <c r="S9" i="1"/>
  <c r="Q9" i="1"/>
  <c r="K8" i="1"/>
  <c r="M55" i="1"/>
  <c r="Q105" i="1"/>
  <c r="S105" i="1"/>
  <c r="M27" i="1"/>
  <c r="N27" i="1" s="1"/>
  <c r="S27" i="1"/>
  <c r="R27" i="1"/>
  <c r="S108" i="1"/>
  <c r="Q108" i="1"/>
  <c r="N30" i="1"/>
  <c r="M9" i="1"/>
  <c r="N105" i="1"/>
  <c r="G20" i="1"/>
  <c r="R20" i="1" s="1"/>
  <c r="N94" i="1"/>
  <c r="M93" i="1"/>
  <c r="N93" i="1" s="1"/>
  <c r="S98" i="1"/>
  <c r="Q98" i="1"/>
  <c r="L20" i="1"/>
  <c r="N9" i="1"/>
  <c r="M20" i="1"/>
  <c r="N55" i="1"/>
  <c r="Q55" i="1"/>
  <c r="S55" i="1"/>
  <c r="J7" i="1"/>
  <c r="L55" i="1"/>
  <c r="S20" i="1" l="1"/>
  <c r="M8" i="1"/>
  <c r="M7" i="1" s="1"/>
  <c r="L92" i="1"/>
  <c r="H90" i="1"/>
  <c r="M92" i="1"/>
  <c r="M90" i="1" s="1"/>
  <c r="P8" i="1"/>
  <c r="P7" i="1" s="1"/>
  <c r="S8" i="1"/>
  <c r="K7" i="1"/>
  <c r="G8" i="1"/>
  <c r="N92" i="1" l="1"/>
  <c r="N90" i="1" s="1"/>
  <c r="N8" i="1" s="1"/>
  <c r="N7" i="1" s="1"/>
  <c r="L90" i="1"/>
  <c r="L8" i="1" s="1"/>
  <c r="L7" i="1" s="1"/>
  <c r="G7" i="1"/>
  <c r="R7" i="1" s="1"/>
  <c r="R8" i="1"/>
  <c r="Q90" i="1"/>
  <c r="H8" i="1"/>
  <c r="H7" i="1" l="1"/>
  <c r="Q7" i="1" s="1"/>
  <c r="Q8" i="1"/>
  <c r="S7" i="1"/>
</calcChain>
</file>

<file path=xl/sharedStrings.xml><?xml version="1.0" encoding="utf-8"?>
<sst xmlns="http://schemas.openxmlformats.org/spreadsheetml/2006/main" count="187" uniqueCount="170">
  <si>
    <t xml:space="preserve">  </t>
  </si>
  <si>
    <t>DIRECCIÓN DE ADMINISTRACIÓN Y FINANZAS - DEPARTAMENTO DE PRESUPUESTO</t>
  </si>
  <si>
    <t>INFORME DE EJECUCIÓN PRESUPUESTARIA (FUNCIONAMIENTO)</t>
  </si>
  <si>
    <t>AL 30 de abril  2022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</si>
  <si>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</si>
  <si>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</si>
  <si>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</si>
  <si>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</si>
  <si>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</si>
  <si>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</si>
  <si>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</si>
  <si>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</si>
  <si>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
</t>
  </si>
  <si>
    <t>(7)                    SALDO DE CONTRATOS POR EJECUTAR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</si>
  <si>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</si>
  <si>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</si>
  <si>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</si>
  <si>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(G5-H6)</t>
  </si>
  <si>
    <t>(12)                                   SALDO ANUAL    (-I7+L10+M11)</t>
  </si>
  <si>
    <t>(13)                 PAGADO</t>
  </si>
  <si>
    <t>(14 )  POR PAGAR A LA FECHA   (K9-O13)</t>
  </si>
  <si>
    <t>% EJEC. (COMP. EJEC. VS PRES. ASIG.)
(K9/H6)</t>
  </si>
  <si>
    <t>% EJEC. (COMP. MENS. VS PRES. MOD.)
(J8/G5)</t>
  </si>
  <si>
    <t>(13)   % EJEC. (COMP. EJEC.  VS PRES. MOD.)
(K9/G5)</t>
  </si>
  <si>
    <t>FUNCIONAMIENTO E INVERSIONES</t>
  </si>
  <si>
    <t>FUNCIONAMIENTO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</si>
  <si>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</si>
  <si>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</si>
  <si>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</si>
  <si>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</si>
  <si>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</si>
  <si>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</si>
  <si>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</si>
  <si>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</si>
  <si>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</si>
  <si>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</si>
  <si>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</si>
  <si>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</si>
  <si>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</si>
  <si>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</si>
  <si>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</si>
  <si>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</si>
  <si>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</si>
  <si>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</si>
  <si>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</si>
  <si>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</si>
  <si>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</si>
  <si>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</si>
  <si>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DE EQUIPO ELECTRONICO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</si>
  <si>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</si>
  <si>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</si>
  <si>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</si>
  <si>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</si>
  <si>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</si>
  <si>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</si>
  <si>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</si>
  <si>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</si>
  <si>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</si>
  <si>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</si>
  <si>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</si>
  <si>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</si>
  <si>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</si>
  <si>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</si>
  <si>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SERVICIOS DE TELEFONIA CELULAR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</si>
  <si>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</si>
  <si>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</si>
  <si>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</si>
  <si>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</si>
  <si>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</si>
  <si>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</si>
  <si>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</si>
  <si>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</si>
  <si>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VIATICOS A OTRAS PERSONAS</t>
  </si>
  <si>
    <t>151</t>
  </si>
  <si>
    <t>TRANSPORTE DENTRO DEL PAIS</t>
  </si>
  <si>
    <t>TRANSPORTE DE O PARA EL EXTERIOR</t>
  </si>
  <si>
    <t>TRANSPORTE DE OTRAS PERSONAS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</si>
  <si>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</si>
  <si>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</si>
  <si>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</si>
  <si>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</si>
  <si>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</si>
  <si>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</si>
  <si>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</si>
  <si>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</si>
  <si>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</si>
  <si>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</si>
  <si>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</si>
  <si>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</si>
  <si>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</si>
  <si>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>MANT. Y REP. DE EQUIPO COMPUTACIÓN</t>
  </si>
  <si>
    <t>SERVICIOS BÁSICOS</t>
  </si>
  <si>
    <t xml:space="preserve"> VIÁTICOS</t>
  </si>
  <si>
    <t>TRANSPORTE DE PERSONAS Y BIENES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</si>
  <si>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</si>
  <si>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</si>
  <si>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</si>
  <si>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</si>
  <si>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</si>
  <si>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</si>
  <si>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</si>
  <si>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</si>
  <si>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</si>
  <si>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</si>
  <si>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</si>
  <si>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</si>
  <si>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</si>
  <si>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</si>
  <si>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</si>
  <si>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</si>
  <si>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</si>
  <si>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</si>
  <si>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</si>
  <si>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>INSECTICIDAS, FUMIGANTES Y OTROS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</si>
  <si>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</si>
  <si>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</si>
  <si>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</si>
  <si>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</si>
  <si>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</si>
  <si>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</si>
  <si>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</si>
  <si>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</si>
  <si>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</si>
  <si>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</si>
  <si>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</si>
  <si>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</si>
  <si>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</si>
  <si>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</si>
  <si>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</si>
  <si>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</si>
  <si>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</si>
  <si>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</si>
  <si>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</si>
  <si>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</si>
  <si>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</si>
  <si>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</si>
  <si>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</si>
  <si>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</si>
  <si>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</si>
  <si>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</si>
  <si>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</si>
  <si>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</si>
  <si>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</si>
  <si>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</si>
  <si>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</si>
  <si>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</t>
  </si>
  <si>
    <t>TEXTILES Y VESTUARIO</t>
  </si>
  <si>
    <t>COMBUSTIBLES Y LUBRICANTES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</si>
  <si>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</si>
  <si>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</si>
  <si>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</si>
  <si>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</si>
  <si>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</si>
  <si>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</si>
  <si>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</si>
  <si>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</si>
  <si>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</si>
  <si>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</si>
  <si>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</si>
  <si>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</si>
  <si>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</si>
  <si>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</si>
  <si>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</si>
  <si>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</si>
  <si>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</si>
  <si>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</si>
  <si>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</si>
  <si>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</si>
  <si>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AL EXTERIOR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</si>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</sst>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180A]General"/>
    <numFmt numFmtId="165" formatCode="[$-180A]#,##0"/>
    <numFmt numFmtId="166" formatCode="[$-180A]#,##0.00"/>
    <numFmt numFmtId="167" formatCode="[$-180A]0%"/>
    <numFmt numFmtId="168" formatCode="[$-180A]#,##0.00&quot; &quot;;[$-180A]&quot;(&quot;#,##0.00&quot;)&quot;"/>
    <numFmt numFmtId="169" formatCode="[$-180A]#,##0&quot; &quot;;[$-180A]&quot;(&quot;#,##0&quot;)&quot;"/>
    <numFmt numFmtId="170" formatCode="&quot; &quot;#,##0.00&quot;    &quot;;&quot;-&quot;#,##0.00&quot;    &quot;;&quot; -&quot;#&quot;    &quot;;&quot; &quot;@&quot; 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4" fontId="6" fillId="0" borderId="0"/>
    <xf numFmtId="170" fontId="1" fillId="0" borderId="0"/>
  </cellStyleXfs>
  <cellXfs count="136">
    <xf numFmtId="0" fontId="0" fillId="0" borderId="0" xfId="0"/>
    <xf numFmtId="164" fontId="3" fillId="0" borderId="0" xfId="1" applyFont="1"/>
    <xf numFmtId="164" fontId="2" fillId="0" borderId="0" xfId="1" applyFont="1"/>
    <xf numFmtId="165" fontId="2" fillId="0" borderId="6" xfId="1" applyNumberFormat="1" applyFont="1" applyBorder="1" applyAlignment="1">
      <alignment wrapText="1"/>
    </xf>
    <xf numFmtId="167" fontId="2" fillId="0" borderId="5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wrapText="1"/>
    </xf>
    <xf numFmtId="165" fontId="2" fillId="0" borderId="2" xfId="1" applyNumberFormat="1" applyFont="1" applyBorder="1" applyAlignment="1">
      <alignment wrapText="1"/>
    </xf>
    <xf numFmtId="3" fontId="2" fillId="0" borderId="7" xfId="1" applyNumberFormat="1" applyFont="1" applyBorder="1" applyAlignment="1">
      <alignment wrapText="1"/>
    </xf>
    <xf numFmtId="165" fontId="2" fillId="0" borderId="3" xfId="1" applyNumberFormat="1" applyFont="1" applyBorder="1" applyAlignment="1">
      <alignment wrapText="1"/>
    </xf>
    <xf numFmtId="165" fontId="2" fillId="0" borderId="7" xfId="1" applyNumberFormat="1" applyFont="1" applyBorder="1" applyAlignment="1">
      <alignment wrapText="1"/>
    </xf>
    <xf numFmtId="167" fontId="2" fillId="0" borderId="2" xfId="1" applyNumberFormat="1" applyFont="1" applyBorder="1" applyAlignment="1">
      <alignment horizontal="right" vertical="center" wrapText="1"/>
    </xf>
    <xf numFmtId="164" fontId="2" fillId="0" borderId="4" xfId="1" applyFont="1" applyBorder="1"/>
    <xf numFmtId="164" fontId="2" fillId="0" borderId="5" xfId="1" applyFont="1" applyBorder="1" applyAlignment="1">
      <alignment horizontal="left" wrapText="1"/>
    </xf>
    <xf numFmtId="3" fontId="2" fillId="0" borderId="6" xfId="1" applyNumberFormat="1" applyFont="1" applyBorder="1"/>
    <xf numFmtId="165" fontId="2" fillId="0" borderId="5" xfId="1" applyNumberFormat="1" applyFont="1" applyBorder="1"/>
    <xf numFmtId="3" fontId="2" fillId="0" borderId="5" xfId="1" applyNumberFormat="1" applyFont="1" applyBorder="1"/>
    <xf numFmtId="167" fontId="2" fillId="0" borderId="5" xfId="1" applyNumberFormat="1" applyFont="1" applyBorder="1" applyAlignment="1">
      <alignment horizontal="right" wrapText="1"/>
    </xf>
    <xf numFmtId="164" fontId="3" fillId="0" borderId="8" xfId="1" applyFont="1" applyBorder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3" fontId="1" fillId="0" borderId="8" xfId="1" applyNumberFormat="1" applyBorder="1"/>
    <xf numFmtId="165" fontId="3" fillId="0" borderId="0" xfId="1" applyNumberFormat="1" applyFont="1" applyProtection="1">
      <protection locked="0"/>
    </xf>
    <xf numFmtId="3" fontId="1" fillId="0" borderId="9" xfId="1" applyNumberFormat="1" applyBorder="1"/>
    <xf numFmtId="165" fontId="1" fillId="0" borderId="8" xfId="1" applyNumberFormat="1" applyBorder="1"/>
    <xf numFmtId="165" fontId="3" fillId="0" borderId="8" xfId="1" applyNumberFormat="1" applyFont="1" applyBorder="1"/>
    <xf numFmtId="168" fontId="1" fillId="0" borderId="10" xfId="1" applyNumberFormat="1" applyBorder="1"/>
    <xf numFmtId="165" fontId="3" fillId="0" borderId="10" xfId="1" applyNumberFormat="1" applyFont="1" applyBorder="1"/>
    <xf numFmtId="165" fontId="3" fillId="0" borderId="10" xfId="1" applyNumberFormat="1" applyFont="1" applyBorder="1" applyAlignment="1">
      <alignment wrapText="1"/>
    </xf>
    <xf numFmtId="168" fontId="1" fillId="0" borderId="9" xfId="1" applyNumberFormat="1" applyBorder="1"/>
    <xf numFmtId="168" fontId="1" fillId="0" borderId="8" xfId="1" applyNumberFormat="1" applyBorder="1"/>
    <xf numFmtId="167" fontId="3" fillId="0" borderId="10" xfId="1" applyNumberFormat="1" applyFont="1" applyBorder="1" applyAlignment="1">
      <alignment horizontal="right" vertical="center" wrapText="1"/>
    </xf>
    <xf numFmtId="169" fontId="1" fillId="0" borderId="9" xfId="1" applyNumberFormat="1" applyBorder="1"/>
    <xf numFmtId="3" fontId="3" fillId="0" borderId="8" xfId="1" applyNumberFormat="1" applyFont="1" applyBorder="1"/>
    <xf numFmtId="164" fontId="3" fillId="0" borderId="0" xfId="1" applyFont="1" applyAlignment="1" applyProtection="1">
      <alignment horizontal="left" wrapText="1"/>
      <protection locked="0"/>
    </xf>
    <xf numFmtId="164" fontId="2" fillId="0" borderId="5" xfId="1" applyFont="1" applyBorder="1" applyAlignment="1">
      <alignment vertical="center"/>
    </xf>
    <xf numFmtId="164" fontId="2" fillId="0" borderId="5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7" fontId="3" fillId="0" borderId="5" xfId="1" applyNumberFormat="1" applyFont="1" applyBorder="1" applyAlignment="1">
      <alignment horizontal="right" vertical="center" wrapText="1"/>
    </xf>
    <xf numFmtId="164" fontId="2" fillId="0" borderId="0" xfId="1" applyFont="1" applyAlignment="1">
      <alignment vertical="center"/>
    </xf>
    <xf numFmtId="169" fontId="1" fillId="0" borderId="10" xfId="1" applyNumberFormat="1" applyBorder="1"/>
    <xf numFmtId="164" fontId="5" fillId="0" borderId="0" xfId="1" applyFont="1"/>
    <xf numFmtId="49" fontId="6" fillId="0" borderId="10" xfId="2" applyNumberFormat="1" applyBorder="1" applyAlignment="1">
      <alignment horizontal="left"/>
    </xf>
    <xf numFmtId="165" fontId="2" fillId="0" borderId="4" xfId="1" applyNumberFormat="1" applyFont="1" applyBorder="1" applyAlignment="1">
      <alignment vertical="center"/>
    </xf>
    <xf numFmtId="167" fontId="2" fillId="0" borderId="11" xfId="1" applyNumberFormat="1" applyFont="1" applyBorder="1" applyAlignment="1">
      <alignment horizontal="right" vertical="center" wrapText="1"/>
    </xf>
    <xf numFmtId="167" fontId="3" fillId="0" borderId="12" xfId="1" applyNumberFormat="1" applyFont="1" applyBorder="1" applyAlignment="1">
      <alignment horizontal="right" vertical="center" wrapText="1"/>
    </xf>
    <xf numFmtId="167" fontId="3" fillId="0" borderId="13" xfId="1" applyNumberFormat="1" applyFont="1" applyBorder="1" applyAlignment="1">
      <alignment horizontal="right" vertical="center" wrapText="1"/>
    </xf>
    <xf numFmtId="3" fontId="3" fillId="0" borderId="8" xfId="1" applyNumberFormat="1" applyFont="1" applyBorder="1" applyProtection="1">
      <protection locked="0"/>
    </xf>
    <xf numFmtId="3" fontId="3" fillId="0" borderId="9" xfId="1" applyNumberFormat="1" applyFont="1" applyBorder="1" applyProtection="1">
      <protection locked="0"/>
    </xf>
    <xf numFmtId="165" fontId="3" fillId="0" borderId="8" xfId="1" applyNumberFormat="1" applyFont="1" applyBorder="1" applyProtection="1">
      <protection locked="0"/>
    </xf>
    <xf numFmtId="165" fontId="3" fillId="0" borderId="14" xfId="1" applyNumberFormat="1" applyFont="1" applyBorder="1" applyProtection="1">
      <protection locked="0"/>
    </xf>
    <xf numFmtId="164" fontId="2" fillId="0" borderId="5" xfId="1" applyFont="1" applyBorder="1" applyAlignment="1" applyProtection="1">
      <alignment horizontal="right"/>
      <protection locked="0"/>
    </xf>
    <xf numFmtId="164" fontId="2" fillId="0" borderId="15" xfId="1" applyFont="1" applyBorder="1" applyProtection="1">
      <protection locked="0"/>
    </xf>
    <xf numFmtId="3" fontId="2" fillId="0" borderId="5" xfId="1" applyNumberFormat="1" applyFont="1" applyBorder="1" applyProtection="1">
      <protection locked="0"/>
    </xf>
    <xf numFmtId="165" fontId="2" fillId="0" borderId="15" xfId="1" applyNumberFormat="1" applyFont="1" applyBorder="1" applyProtection="1">
      <protection locked="0"/>
    </xf>
    <xf numFmtId="3" fontId="2" fillId="0" borderId="13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3" fillId="0" borderId="5" xfId="1" applyNumberFormat="1" applyFont="1" applyBorder="1"/>
    <xf numFmtId="165" fontId="2" fillId="0" borderId="6" xfId="1" applyNumberFormat="1" applyFont="1" applyBorder="1" applyProtection="1">
      <protection locked="0"/>
    </xf>
    <xf numFmtId="165" fontId="2" fillId="0" borderId="4" xfId="1" applyNumberFormat="1" applyFont="1" applyBorder="1" applyProtection="1">
      <protection locked="0"/>
    </xf>
    <xf numFmtId="167" fontId="2" fillId="0" borderId="16" xfId="1" applyNumberFormat="1" applyFont="1" applyBorder="1" applyAlignment="1">
      <alignment horizontal="right" vertical="center" wrapText="1"/>
    </xf>
    <xf numFmtId="167" fontId="2" fillId="0" borderId="17" xfId="1" applyNumberFormat="1" applyFont="1" applyBorder="1" applyAlignment="1">
      <alignment horizontal="right" vertical="center" wrapText="1"/>
    </xf>
    <xf numFmtId="165" fontId="2" fillId="0" borderId="0" xfId="1" applyNumberFormat="1" applyFont="1" applyProtection="1">
      <protection locked="0"/>
    </xf>
    <xf numFmtId="165" fontId="3" fillId="0" borderId="2" xfId="1" applyNumberFormat="1" applyFont="1" applyBorder="1"/>
    <xf numFmtId="165" fontId="1" fillId="0" borderId="14" xfId="1" applyNumberFormat="1" applyBorder="1"/>
    <xf numFmtId="164" fontId="2" fillId="0" borderId="5" xfId="1" applyFont="1" applyBorder="1"/>
    <xf numFmtId="170" fontId="2" fillId="0" borderId="15" xfId="3" applyFont="1" applyBorder="1"/>
    <xf numFmtId="3" fontId="2" fillId="0" borderId="5" xfId="3" applyNumberFormat="1" applyFont="1" applyBorder="1"/>
    <xf numFmtId="165" fontId="2" fillId="0" borderId="15" xfId="3" applyNumberFormat="1" applyFont="1" applyBorder="1"/>
    <xf numFmtId="165" fontId="2" fillId="0" borderId="18" xfId="3" applyNumberFormat="1" applyFont="1" applyBorder="1"/>
    <xf numFmtId="165" fontId="2" fillId="0" borderId="2" xfId="1" applyNumberFormat="1" applyFont="1" applyBorder="1"/>
    <xf numFmtId="165" fontId="2" fillId="0" borderId="6" xfId="1" applyNumberFormat="1" applyFont="1" applyBorder="1"/>
    <xf numFmtId="165" fontId="2" fillId="0" borderId="15" xfId="1" applyNumberFormat="1" applyFont="1" applyBorder="1"/>
    <xf numFmtId="165" fontId="2" fillId="0" borderId="5" xfId="1" applyNumberFormat="1" applyFont="1" applyBorder="1" applyProtection="1">
      <protection locked="0"/>
    </xf>
    <xf numFmtId="167" fontId="2" fillId="0" borderId="6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Protection="1">
      <protection locked="0"/>
    </xf>
    <xf numFmtId="164" fontId="3" fillId="0" borderId="2" xfId="1" applyFont="1" applyBorder="1" applyAlignment="1" applyProtection="1">
      <alignment horizontal="left"/>
      <protection locked="0"/>
    </xf>
    <xf numFmtId="3" fontId="2" fillId="0" borderId="2" xfId="1" applyNumberFormat="1" applyFont="1" applyBorder="1" applyProtection="1">
      <protection locked="0"/>
    </xf>
    <xf numFmtId="165" fontId="2" fillId="0" borderId="2" xfId="1" applyNumberFormat="1" applyFont="1" applyBorder="1" applyProtection="1">
      <protection locked="0"/>
    </xf>
    <xf numFmtId="3" fontId="2" fillId="0" borderId="7" xfId="1" applyNumberFormat="1" applyFont="1" applyBorder="1" applyProtection="1">
      <protection locked="0"/>
    </xf>
    <xf numFmtId="169" fontId="1" fillId="0" borderId="6" xfId="1" applyNumberFormat="1" applyBorder="1"/>
    <xf numFmtId="165" fontId="2" fillId="0" borderId="7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7" fontId="3" fillId="0" borderId="3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Protection="1">
      <protection locked="0"/>
    </xf>
    <xf numFmtId="165" fontId="3" fillId="0" borderId="2" xfId="1" applyNumberFormat="1" applyFont="1" applyBorder="1" applyProtection="1">
      <protection locked="0"/>
    </xf>
    <xf numFmtId="165" fontId="3" fillId="0" borderId="3" xfId="1" applyNumberFormat="1" applyFont="1" applyBorder="1" applyProtection="1">
      <protection locked="0"/>
    </xf>
    <xf numFmtId="165" fontId="1" fillId="0" borderId="3" xfId="1" applyNumberFormat="1" applyBorder="1"/>
    <xf numFmtId="165" fontId="3" fillId="0" borderId="8" xfId="1" applyNumberFormat="1" applyFont="1" applyBorder="1" applyAlignment="1">
      <alignment wrapText="1"/>
    </xf>
    <xf numFmtId="169" fontId="1" fillId="0" borderId="7" xfId="1" applyNumberFormat="1" applyBorder="1"/>
    <xf numFmtId="168" fontId="1" fillId="0" borderId="7" xfId="1" applyNumberFormat="1" applyBorder="1"/>
    <xf numFmtId="167" fontId="3" fillId="0" borderId="19" xfId="1" applyNumberFormat="1" applyFont="1" applyBorder="1" applyAlignment="1">
      <alignment horizontal="right" vertical="center" wrapText="1"/>
    </xf>
    <xf numFmtId="167" fontId="3" fillId="0" borderId="2" xfId="1" applyNumberFormat="1" applyFont="1" applyBorder="1" applyAlignment="1">
      <alignment horizontal="right" vertical="center" wrapText="1"/>
    </xf>
    <xf numFmtId="165" fontId="3" fillId="0" borderId="10" xfId="1" applyNumberFormat="1" applyFont="1" applyBorder="1" applyProtection="1">
      <protection locked="0"/>
    </xf>
    <xf numFmtId="165" fontId="1" fillId="0" borderId="10" xfId="1" applyNumberFormat="1" applyBorder="1"/>
    <xf numFmtId="167" fontId="3" fillId="0" borderId="20" xfId="1" applyNumberFormat="1" applyFont="1" applyBorder="1" applyAlignment="1">
      <alignment horizontal="right" vertical="center" wrapText="1"/>
    </xf>
    <xf numFmtId="167" fontId="3" fillId="0" borderId="8" xfId="1" applyNumberFormat="1" applyFont="1" applyBorder="1" applyAlignment="1">
      <alignment horizontal="right" vertical="center" wrapText="1"/>
    </xf>
    <xf numFmtId="164" fontId="3" fillId="0" borderId="21" xfId="1" applyFont="1" applyBorder="1" applyAlignment="1" applyProtection="1">
      <alignment horizontal="left"/>
      <protection locked="0"/>
    </xf>
    <xf numFmtId="164" fontId="3" fillId="0" borderId="21" xfId="1" applyFont="1" applyBorder="1" applyProtection="1">
      <protection locked="0"/>
    </xf>
    <xf numFmtId="3" fontId="3" fillId="0" borderId="21" xfId="1" applyNumberFormat="1" applyFont="1" applyBorder="1" applyProtection="1">
      <protection locked="0"/>
    </xf>
    <xf numFmtId="165" fontId="3" fillId="0" borderId="21" xfId="1" applyNumberFormat="1" applyFont="1" applyBorder="1" applyProtection="1">
      <protection locked="0"/>
    </xf>
    <xf numFmtId="165" fontId="3" fillId="0" borderId="21" xfId="1" applyNumberFormat="1" applyFont="1" applyBorder="1"/>
    <xf numFmtId="165" fontId="1" fillId="0" borderId="21" xfId="1" applyNumberFormat="1" applyBorder="1"/>
    <xf numFmtId="165" fontId="3" fillId="0" borderId="21" xfId="1" applyNumberFormat="1" applyFont="1" applyBorder="1" applyAlignment="1">
      <alignment wrapText="1"/>
    </xf>
    <xf numFmtId="169" fontId="1" fillId="0" borderId="21" xfId="1" applyNumberFormat="1" applyBorder="1"/>
    <xf numFmtId="168" fontId="1" fillId="0" borderId="21" xfId="1" applyNumberFormat="1" applyBorder="1"/>
    <xf numFmtId="167" fontId="3" fillId="0" borderId="21" xfId="1" applyNumberFormat="1" applyFont="1" applyBorder="1" applyAlignment="1">
      <alignment horizontal="right" vertical="center" wrapText="1"/>
    </xf>
    <xf numFmtId="164" fontId="3" fillId="0" borderId="8" xfId="1" applyFont="1" applyBorder="1"/>
    <xf numFmtId="3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3" fontId="2" fillId="0" borderId="14" xfId="1" applyNumberFormat="1" applyFont="1" applyBorder="1" applyAlignment="1">
      <alignment wrapText="1"/>
    </xf>
    <xf numFmtId="165" fontId="2" fillId="0" borderId="14" xfId="1" applyNumberFormat="1" applyFont="1" applyBorder="1" applyAlignment="1">
      <alignment wrapText="1"/>
    </xf>
    <xf numFmtId="3" fontId="2" fillId="0" borderId="22" xfId="1" applyNumberFormat="1" applyFont="1" applyBorder="1" applyAlignment="1">
      <alignment wrapText="1"/>
    </xf>
    <xf numFmtId="165" fontId="2" fillId="0" borderId="18" xfId="1" applyNumberFormat="1" applyFont="1" applyBorder="1" applyAlignment="1">
      <alignment wrapText="1"/>
    </xf>
    <xf numFmtId="165" fontId="2" fillId="0" borderId="22" xfId="1" applyNumberFormat="1" applyFont="1" applyBorder="1" applyAlignment="1">
      <alignment wrapText="1"/>
    </xf>
    <xf numFmtId="167" fontId="2" fillId="0" borderId="14" xfId="1" applyNumberFormat="1" applyFont="1" applyBorder="1" applyAlignment="1">
      <alignment horizontal="right"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12" xfId="1" applyFont="1" applyBorder="1" applyAlignment="1">
      <alignment horizontal="center" vertical="center" wrapText="1"/>
    </xf>
    <xf numFmtId="3" fontId="2" fillId="0" borderId="23" xfId="1" applyNumberFormat="1" applyFont="1" applyBorder="1" applyAlignment="1">
      <alignment horizontal="center" vertical="center" wrapText="1"/>
    </xf>
    <xf numFmtId="164" fontId="2" fillId="0" borderId="16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165" fontId="2" fillId="0" borderId="23" xfId="1" applyNumberFormat="1" applyFont="1" applyBorder="1" applyAlignment="1">
      <alignment horizontal="center" vertical="center" wrapText="1"/>
    </xf>
    <xf numFmtId="164" fontId="2" fillId="0" borderId="23" xfId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center" vertical="center" wrapText="1"/>
    </xf>
    <xf numFmtId="166" fontId="2" fillId="0" borderId="23" xfId="1" applyNumberFormat="1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7" fontId="2" fillId="0" borderId="16" xfId="1" applyNumberFormat="1" applyFont="1" applyBorder="1" applyAlignment="1">
      <alignment horizontal="center" vertical="center" wrapText="1"/>
    </xf>
    <xf numFmtId="167" fontId="2" fillId="0" borderId="23" xfId="1" applyNumberFormat="1" applyFont="1" applyBorder="1" applyAlignment="1">
      <alignment horizontal="center" vertical="center" wrapText="1"/>
    </xf>
    <xf numFmtId="164" fontId="2" fillId="0" borderId="17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top" wrapText="1"/>
    </xf>
    <xf numFmtId="165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22" xfId="1" applyFont="1" applyBorder="1" applyAlignment="1">
      <alignment horizontal="center" vertical="top" wrapText="1"/>
    </xf>
  </cellXfs>
  <cellStyles count="4">
    <cellStyle name="Excel Built-in Normal" xfId="1" xr:uid="{F4328779-06B5-4F73-8A4B-9BFC0E7CA33C}"/>
    <cellStyle name="Millares 3" xfId="3" xr:uid="{4DFD89E1-1A58-42D6-A69F-56C9A47F98CE}"/>
    <cellStyle name="Normal" xfId="0" builtinId="0"/>
    <cellStyle name="Normal 2" xfId="2" xr:uid="{8A183E58-D675-416F-B280-A74E245D7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0</xdr:row>
      <xdr:rowOff>360</xdr:rowOff>
    </xdr:from>
    <xdr:ext cx="1352880" cy="28080"/>
    <xdr:pic>
      <xdr:nvPicPr>
        <xdr:cNvPr id="2" name="Picture 1">
          <a:extLst>
            <a:ext uri="{FF2B5EF4-FFF2-40B4-BE49-F238E27FC236}">
              <a16:creationId xmlns:a16="http://schemas.microsoft.com/office/drawing/2014/main" id="{3AC5CDC2-509D-4868-84B7-F25EFEAD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360"/>
          <a:ext cx="135288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44</xdr:row>
      <xdr:rowOff>144360</xdr:rowOff>
    </xdr:from>
    <xdr:ext cx="1352880" cy="57240"/>
    <xdr:pic>
      <xdr:nvPicPr>
        <xdr:cNvPr id="3" name="Picture 1">
          <a:extLst>
            <a:ext uri="{FF2B5EF4-FFF2-40B4-BE49-F238E27FC236}">
              <a16:creationId xmlns:a16="http://schemas.microsoft.com/office/drawing/2014/main" id="{3566AEFA-4C94-4C2C-94B7-C3F16CB5D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22168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40</xdr:row>
      <xdr:rowOff>144000</xdr:rowOff>
    </xdr:from>
    <xdr:ext cx="1352880" cy="57960"/>
    <xdr:pic>
      <xdr:nvPicPr>
        <xdr:cNvPr id="4" name="Picture 1">
          <a:extLst>
            <a:ext uri="{FF2B5EF4-FFF2-40B4-BE49-F238E27FC236}">
              <a16:creationId xmlns:a16="http://schemas.microsoft.com/office/drawing/2014/main" id="{AFAD06F7-4777-487C-8AAF-5B4A1EE6D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8421225"/>
          <a:ext cx="135288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42</xdr:row>
      <xdr:rowOff>144360</xdr:rowOff>
    </xdr:from>
    <xdr:ext cx="1352880" cy="57240"/>
    <xdr:pic>
      <xdr:nvPicPr>
        <xdr:cNvPr id="5" name="Picture 1">
          <a:extLst>
            <a:ext uri="{FF2B5EF4-FFF2-40B4-BE49-F238E27FC236}">
              <a16:creationId xmlns:a16="http://schemas.microsoft.com/office/drawing/2014/main" id="{2010343C-5589-4306-A9BE-A1CAFA6F0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882163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352880" cy="57960"/>
    <xdr:pic>
      <xdr:nvPicPr>
        <xdr:cNvPr id="6" name="Picture 1">
          <a:extLst>
            <a:ext uri="{FF2B5EF4-FFF2-40B4-BE49-F238E27FC236}">
              <a16:creationId xmlns:a16="http://schemas.microsoft.com/office/drawing/2014/main" id="{2DE898FD-B19B-43A2-BB65-E1E8B0343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35288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44</xdr:row>
      <xdr:rowOff>144360</xdr:rowOff>
    </xdr:from>
    <xdr:ext cx="1352880" cy="57240"/>
    <xdr:pic>
      <xdr:nvPicPr>
        <xdr:cNvPr id="7" name="Picture 1">
          <a:extLst>
            <a:ext uri="{FF2B5EF4-FFF2-40B4-BE49-F238E27FC236}">
              <a16:creationId xmlns:a16="http://schemas.microsoft.com/office/drawing/2014/main" id="{D00731E2-51FC-4DE9-AC34-9ADB5B2B7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22168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40</xdr:row>
      <xdr:rowOff>144000</xdr:rowOff>
    </xdr:from>
    <xdr:ext cx="1352880" cy="57960"/>
    <xdr:pic>
      <xdr:nvPicPr>
        <xdr:cNvPr id="8" name="Picture 1">
          <a:extLst>
            <a:ext uri="{FF2B5EF4-FFF2-40B4-BE49-F238E27FC236}">
              <a16:creationId xmlns:a16="http://schemas.microsoft.com/office/drawing/2014/main" id="{040DDE3B-E39C-4B64-A5F0-E713C61F3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8421225"/>
          <a:ext cx="135288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42</xdr:row>
      <xdr:rowOff>144360</xdr:rowOff>
    </xdr:from>
    <xdr:ext cx="1352880" cy="57240"/>
    <xdr:pic>
      <xdr:nvPicPr>
        <xdr:cNvPr id="9" name="Picture 1">
          <a:extLst>
            <a:ext uri="{FF2B5EF4-FFF2-40B4-BE49-F238E27FC236}">
              <a16:creationId xmlns:a16="http://schemas.microsoft.com/office/drawing/2014/main" id="{ADA1B5CF-CADB-405D-A074-8FD4B15B5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882163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352880" cy="57240"/>
    <xdr:pic>
      <xdr:nvPicPr>
        <xdr:cNvPr id="10" name="Picture 1">
          <a:extLst>
            <a:ext uri="{FF2B5EF4-FFF2-40B4-BE49-F238E27FC236}">
              <a16:creationId xmlns:a16="http://schemas.microsoft.com/office/drawing/2014/main" id="{06018A92-64F8-4143-A743-9C555E911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44</xdr:row>
      <xdr:rowOff>144360</xdr:rowOff>
    </xdr:from>
    <xdr:ext cx="1352880" cy="57240"/>
    <xdr:pic>
      <xdr:nvPicPr>
        <xdr:cNvPr id="11" name="Picture 1">
          <a:extLst>
            <a:ext uri="{FF2B5EF4-FFF2-40B4-BE49-F238E27FC236}">
              <a16:creationId xmlns:a16="http://schemas.microsoft.com/office/drawing/2014/main" id="{585D7B90-B871-4725-925D-804F2781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22168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40</xdr:row>
      <xdr:rowOff>144000</xdr:rowOff>
    </xdr:from>
    <xdr:ext cx="1352880" cy="57960"/>
    <xdr:pic>
      <xdr:nvPicPr>
        <xdr:cNvPr id="12" name="Picture 1">
          <a:extLst>
            <a:ext uri="{FF2B5EF4-FFF2-40B4-BE49-F238E27FC236}">
              <a16:creationId xmlns:a16="http://schemas.microsoft.com/office/drawing/2014/main" id="{790BB8D4-EC55-412C-A549-3406C695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8421225"/>
          <a:ext cx="135288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352880" cy="57240"/>
    <xdr:pic>
      <xdr:nvPicPr>
        <xdr:cNvPr id="13" name="Picture 1">
          <a:extLst>
            <a:ext uri="{FF2B5EF4-FFF2-40B4-BE49-F238E27FC236}">
              <a16:creationId xmlns:a16="http://schemas.microsoft.com/office/drawing/2014/main" id="{1FB21BD1-D421-42A7-ACA6-E1F75EC5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35288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14" name="Picture 1">
          <a:extLst>
            <a:ext uri="{FF2B5EF4-FFF2-40B4-BE49-F238E27FC236}">
              <a16:creationId xmlns:a16="http://schemas.microsoft.com/office/drawing/2014/main" id="{0EE42AD5-6C9C-457D-995D-DE887C413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15" name="Picture 1">
          <a:extLst>
            <a:ext uri="{FF2B5EF4-FFF2-40B4-BE49-F238E27FC236}">
              <a16:creationId xmlns:a16="http://schemas.microsoft.com/office/drawing/2014/main" id="{BEDE1CA9-602C-4232-A013-4348946DE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16" name="Picture 1">
          <a:extLst>
            <a:ext uri="{FF2B5EF4-FFF2-40B4-BE49-F238E27FC236}">
              <a16:creationId xmlns:a16="http://schemas.microsoft.com/office/drawing/2014/main" id="{57FDBAB5-62E0-4C51-B9DA-71AD30E20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17" name="Picture 1">
          <a:extLst>
            <a:ext uri="{FF2B5EF4-FFF2-40B4-BE49-F238E27FC236}">
              <a16:creationId xmlns:a16="http://schemas.microsoft.com/office/drawing/2014/main" id="{145B3474-1898-4EEC-B653-BC3CFACCE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18" name="Picture 1">
          <a:extLst>
            <a:ext uri="{FF2B5EF4-FFF2-40B4-BE49-F238E27FC236}">
              <a16:creationId xmlns:a16="http://schemas.microsoft.com/office/drawing/2014/main" id="{CD6FD249-1303-4480-A6BD-4EF5BC3E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19" name="Picture 1">
          <a:extLst>
            <a:ext uri="{FF2B5EF4-FFF2-40B4-BE49-F238E27FC236}">
              <a16:creationId xmlns:a16="http://schemas.microsoft.com/office/drawing/2014/main" id="{E30FA054-18A0-42E6-978F-237657783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20" name="Picture 1">
          <a:extLst>
            <a:ext uri="{FF2B5EF4-FFF2-40B4-BE49-F238E27FC236}">
              <a16:creationId xmlns:a16="http://schemas.microsoft.com/office/drawing/2014/main" id="{A626A16F-86B8-4A16-B31B-7BF3FF4CB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21" name="Picture 1">
          <a:extLst>
            <a:ext uri="{FF2B5EF4-FFF2-40B4-BE49-F238E27FC236}">
              <a16:creationId xmlns:a16="http://schemas.microsoft.com/office/drawing/2014/main" id="{783B5EA1-EADD-4132-9342-AD1D49BB0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22" name="Picture 1">
          <a:extLst>
            <a:ext uri="{FF2B5EF4-FFF2-40B4-BE49-F238E27FC236}">
              <a16:creationId xmlns:a16="http://schemas.microsoft.com/office/drawing/2014/main" id="{23E5C78F-45E1-459D-A0EB-25314CF72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23" name="Picture 1">
          <a:extLst>
            <a:ext uri="{FF2B5EF4-FFF2-40B4-BE49-F238E27FC236}">
              <a16:creationId xmlns:a16="http://schemas.microsoft.com/office/drawing/2014/main" id="{7719811F-D77F-414A-A766-8CCA9D20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24" name="Picture 1">
          <a:extLst>
            <a:ext uri="{FF2B5EF4-FFF2-40B4-BE49-F238E27FC236}">
              <a16:creationId xmlns:a16="http://schemas.microsoft.com/office/drawing/2014/main" id="{A700EC71-4BA6-476A-B4FC-096CBD91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25" name="Picture 1">
          <a:extLst>
            <a:ext uri="{FF2B5EF4-FFF2-40B4-BE49-F238E27FC236}">
              <a16:creationId xmlns:a16="http://schemas.microsoft.com/office/drawing/2014/main" id="{7D8E1D4F-72D4-4850-AB0A-260DDBBD0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26" name="Picture 1">
          <a:extLst>
            <a:ext uri="{FF2B5EF4-FFF2-40B4-BE49-F238E27FC236}">
              <a16:creationId xmlns:a16="http://schemas.microsoft.com/office/drawing/2014/main" id="{06BDBD9E-F224-4014-A07C-44E9748E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27" name="Picture 1">
          <a:extLst>
            <a:ext uri="{FF2B5EF4-FFF2-40B4-BE49-F238E27FC236}">
              <a16:creationId xmlns:a16="http://schemas.microsoft.com/office/drawing/2014/main" id="{2EA07BD1-7DE9-44CA-B279-12034AAD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28" name="Picture 1">
          <a:extLst>
            <a:ext uri="{FF2B5EF4-FFF2-40B4-BE49-F238E27FC236}">
              <a16:creationId xmlns:a16="http://schemas.microsoft.com/office/drawing/2014/main" id="{02910861-F6C0-4EBA-8836-6EAA8365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29" name="Picture 1">
          <a:extLst>
            <a:ext uri="{FF2B5EF4-FFF2-40B4-BE49-F238E27FC236}">
              <a16:creationId xmlns:a16="http://schemas.microsoft.com/office/drawing/2014/main" id="{4383A01A-9D72-4A97-B0A3-DC1E2FF11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30" name="Picture 1">
          <a:extLst>
            <a:ext uri="{FF2B5EF4-FFF2-40B4-BE49-F238E27FC236}">
              <a16:creationId xmlns:a16="http://schemas.microsoft.com/office/drawing/2014/main" id="{0F513282-D4BD-43B6-9BAA-22BCC833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31" name="Picture 1">
          <a:extLst>
            <a:ext uri="{FF2B5EF4-FFF2-40B4-BE49-F238E27FC236}">
              <a16:creationId xmlns:a16="http://schemas.microsoft.com/office/drawing/2014/main" id="{39923E37-AB71-4720-92F6-1B34F6651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32" name="Picture 1">
          <a:extLst>
            <a:ext uri="{FF2B5EF4-FFF2-40B4-BE49-F238E27FC236}">
              <a16:creationId xmlns:a16="http://schemas.microsoft.com/office/drawing/2014/main" id="{4E8E4B14-E31F-43D6-AADE-605A4829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33" name="Picture 1">
          <a:extLst>
            <a:ext uri="{FF2B5EF4-FFF2-40B4-BE49-F238E27FC236}">
              <a16:creationId xmlns:a16="http://schemas.microsoft.com/office/drawing/2014/main" id="{14C41962-4D5C-4B14-99AC-A26A9299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34" name="Picture 1">
          <a:extLst>
            <a:ext uri="{FF2B5EF4-FFF2-40B4-BE49-F238E27FC236}">
              <a16:creationId xmlns:a16="http://schemas.microsoft.com/office/drawing/2014/main" id="{CE027C5F-E10B-4CB5-ACDA-D590AFC0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35" name="Picture 1">
          <a:extLst>
            <a:ext uri="{FF2B5EF4-FFF2-40B4-BE49-F238E27FC236}">
              <a16:creationId xmlns:a16="http://schemas.microsoft.com/office/drawing/2014/main" id="{3BF9A8D8-1C53-4CBD-8BBE-C6B53706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36" name="Picture 1">
          <a:extLst>
            <a:ext uri="{FF2B5EF4-FFF2-40B4-BE49-F238E27FC236}">
              <a16:creationId xmlns:a16="http://schemas.microsoft.com/office/drawing/2014/main" id="{2742CA99-5C42-47CA-9A4D-C2F78DC16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37" name="Picture 1">
          <a:extLst>
            <a:ext uri="{FF2B5EF4-FFF2-40B4-BE49-F238E27FC236}">
              <a16:creationId xmlns:a16="http://schemas.microsoft.com/office/drawing/2014/main" id="{AF61A6FC-DA27-4370-BEEC-D233E336B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38" name="Picture 1">
          <a:extLst>
            <a:ext uri="{FF2B5EF4-FFF2-40B4-BE49-F238E27FC236}">
              <a16:creationId xmlns:a16="http://schemas.microsoft.com/office/drawing/2014/main" id="{AD967E02-AFB0-4822-8A13-FF53B4C6B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39" name="Picture 1">
          <a:extLst>
            <a:ext uri="{FF2B5EF4-FFF2-40B4-BE49-F238E27FC236}">
              <a16:creationId xmlns:a16="http://schemas.microsoft.com/office/drawing/2014/main" id="{0D43DDEA-1AA3-45C2-908B-C4F2B02B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40" name="Picture 1">
          <a:extLst>
            <a:ext uri="{FF2B5EF4-FFF2-40B4-BE49-F238E27FC236}">
              <a16:creationId xmlns:a16="http://schemas.microsoft.com/office/drawing/2014/main" id="{72F7A6D0-9CF7-4720-8AD8-19064C3C8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41" name="Picture 1">
          <a:extLst>
            <a:ext uri="{FF2B5EF4-FFF2-40B4-BE49-F238E27FC236}">
              <a16:creationId xmlns:a16="http://schemas.microsoft.com/office/drawing/2014/main" id="{66C53210-5FD9-454C-9F7D-694811BE1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42" name="Picture 1">
          <a:extLst>
            <a:ext uri="{FF2B5EF4-FFF2-40B4-BE49-F238E27FC236}">
              <a16:creationId xmlns:a16="http://schemas.microsoft.com/office/drawing/2014/main" id="{87E20BDC-B5CD-4EF5-8D76-B263564BB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43" name="Picture 1">
          <a:extLst>
            <a:ext uri="{FF2B5EF4-FFF2-40B4-BE49-F238E27FC236}">
              <a16:creationId xmlns:a16="http://schemas.microsoft.com/office/drawing/2014/main" id="{A3ED1F08-9B59-4C34-AF54-483216D3A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44" name="Picture 1">
          <a:extLst>
            <a:ext uri="{FF2B5EF4-FFF2-40B4-BE49-F238E27FC236}">
              <a16:creationId xmlns:a16="http://schemas.microsoft.com/office/drawing/2014/main" id="{789B0B4B-618B-4AC5-9E90-A6FB9ACAC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45" name="Picture 1">
          <a:extLst>
            <a:ext uri="{FF2B5EF4-FFF2-40B4-BE49-F238E27FC236}">
              <a16:creationId xmlns:a16="http://schemas.microsoft.com/office/drawing/2014/main" id="{A3221AAE-9F9B-4C6B-9557-82AFA9BA1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46" name="Picture 1">
          <a:extLst>
            <a:ext uri="{FF2B5EF4-FFF2-40B4-BE49-F238E27FC236}">
              <a16:creationId xmlns:a16="http://schemas.microsoft.com/office/drawing/2014/main" id="{DB08B437-0136-462D-988B-D12B8986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47" name="Picture 1">
          <a:extLst>
            <a:ext uri="{FF2B5EF4-FFF2-40B4-BE49-F238E27FC236}">
              <a16:creationId xmlns:a16="http://schemas.microsoft.com/office/drawing/2014/main" id="{366E4C5E-6E98-48A6-87FF-9F53AF872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48" name="Picture 1">
          <a:extLst>
            <a:ext uri="{FF2B5EF4-FFF2-40B4-BE49-F238E27FC236}">
              <a16:creationId xmlns:a16="http://schemas.microsoft.com/office/drawing/2014/main" id="{333B9D5E-5A0C-4779-BF1E-8D8785DA7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49" name="Picture 1">
          <a:extLst>
            <a:ext uri="{FF2B5EF4-FFF2-40B4-BE49-F238E27FC236}">
              <a16:creationId xmlns:a16="http://schemas.microsoft.com/office/drawing/2014/main" id="{C2F5FDF7-2882-456A-8997-2736115B9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50" name="Picture 1">
          <a:extLst>
            <a:ext uri="{FF2B5EF4-FFF2-40B4-BE49-F238E27FC236}">
              <a16:creationId xmlns:a16="http://schemas.microsoft.com/office/drawing/2014/main" id="{637D98FA-1E86-4000-91A6-D12D0760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51" name="Picture 1">
          <a:extLst>
            <a:ext uri="{FF2B5EF4-FFF2-40B4-BE49-F238E27FC236}">
              <a16:creationId xmlns:a16="http://schemas.microsoft.com/office/drawing/2014/main" id="{B94624FC-7BA3-4A6D-ADDF-C63C6861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52" name="Picture 1">
          <a:extLst>
            <a:ext uri="{FF2B5EF4-FFF2-40B4-BE49-F238E27FC236}">
              <a16:creationId xmlns:a16="http://schemas.microsoft.com/office/drawing/2014/main" id="{A1924FF1-B760-4931-B98E-1FD20F007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53" name="Picture 1">
          <a:extLst>
            <a:ext uri="{FF2B5EF4-FFF2-40B4-BE49-F238E27FC236}">
              <a16:creationId xmlns:a16="http://schemas.microsoft.com/office/drawing/2014/main" id="{6D6435A1-4287-4BC0-819B-C0062D4EB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54" name="Picture 1">
          <a:extLst>
            <a:ext uri="{FF2B5EF4-FFF2-40B4-BE49-F238E27FC236}">
              <a16:creationId xmlns:a16="http://schemas.microsoft.com/office/drawing/2014/main" id="{ADF525EC-F7DF-43D8-9135-C1D07DCC5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55" name="Picture 1">
          <a:extLst>
            <a:ext uri="{FF2B5EF4-FFF2-40B4-BE49-F238E27FC236}">
              <a16:creationId xmlns:a16="http://schemas.microsoft.com/office/drawing/2014/main" id="{5A22CF1D-BFDB-40A3-9938-0480BFF28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56" name="Picture 1">
          <a:extLst>
            <a:ext uri="{FF2B5EF4-FFF2-40B4-BE49-F238E27FC236}">
              <a16:creationId xmlns:a16="http://schemas.microsoft.com/office/drawing/2014/main" id="{C6E7B01E-97C5-4A21-A71D-337E4F09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57" name="Picture 1">
          <a:extLst>
            <a:ext uri="{FF2B5EF4-FFF2-40B4-BE49-F238E27FC236}">
              <a16:creationId xmlns:a16="http://schemas.microsoft.com/office/drawing/2014/main" id="{34EE6DCC-F72A-4E1A-96EB-7CE1F352D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58" name="Picture 1">
          <a:extLst>
            <a:ext uri="{FF2B5EF4-FFF2-40B4-BE49-F238E27FC236}">
              <a16:creationId xmlns:a16="http://schemas.microsoft.com/office/drawing/2014/main" id="{902CEDAF-C66C-4CBF-ABD0-47DCA6E5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59" name="Picture 1">
          <a:extLst>
            <a:ext uri="{FF2B5EF4-FFF2-40B4-BE49-F238E27FC236}">
              <a16:creationId xmlns:a16="http://schemas.microsoft.com/office/drawing/2014/main" id="{34EC9F35-7307-4F65-95B3-AF4F8E43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60" name="Picture 1">
          <a:extLst>
            <a:ext uri="{FF2B5EF4-FFF2-40B4-BE49-F238E27FC236}">
              <a16:creationId xmlns:a16="http://schemas.microsoft.com/office/drawing/2014/main" id="{CBC6B9F3-F891-41D0-9D13-368E1B05B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61" name="Picture 1">
          <a:extLst>
            <a:ext uri="{FF2B5EF4-FFF2-40B4-BE49-F238E27FC236}">
              <a16:creationId xmlns:a16="http://schemas.microsoft.com/office/drawing/2014/main" id="{8371DF57-2225-4FDE-8FAA-CF0E70F83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62" name="Picture 1">
          <a:extLst>
            <a:ext uri="{FF2B5EF4-FFF2-40B4-BE49-F238E27FC236}">
              <a16:creationId xmlns:a16="http://schemas.microsoft.com/office/drawing/2014/main" id="{8C46A3BA-6AE6-4B1D-8BB0-A5791933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63" name="Picture 1">
          <a:extLst>
            <a:ext uri="{FF2B5EF4-FFF2-40B4-BE49-F238E27FC236}">
              <a16:creationId xmlns:a16="http://schemas.microsoft.com/office/drawing/2014/main" id="{0D8DB34C-1D98-4445-94A8-AA154F5F8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64" name="Picture 1">
          <a:extLst>
            <a:ext uri="{FF2B5EF4-FFF2-40B4-BE49-F238E27FC236}">
              <a16:creationId xmlns:a16="http://schemas.microsoft.com/office/drawing/2014/main" id="{5C51837F-AAAF-4910-9C76-DEEBEB187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65" name="Picture 1">
          <a:extLst>
            <a:ext uri="{FF2B5EF4-FFF2-40B4-BE49-F238E27FC236}">
              <a16:creationId xmlns:a16="http://schemas.microsoft.com/office/drawing/2014/main" id="{8707D384-CC2D-46F0-89A5-E9297F815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66" name="Picture 1">
          <a:extLst>
            <a:ext uri="{FF2B5EF4-FFF2-40B4-BE49-F238E27FC236}">
              <a16:creationId xmlns:a16="http://schemas.microsoft.com/office/drawing/2014/main" id="{DC9EB076-84EC-4171-8380-A5F1A842C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67" name="Picture 1">
          <a:extLst>
            <a:ext uri="{FF2B5EF4-FFF2-40B4-BE49-F238E27FC236}">
              <a16:creationId xmlns:a16="http://schemas.microsoft.com/office/drawing/2014/main" id="{E2E8BE2F-17A4-4832-BAA7-CB431C29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68" name="Picture 1">
          <a:extLst>
            <a:ext uri="{FF2B5EF4-FFF2-40B4-BE49-F238E27FC236}">
              <a16:creationId xmlns:a16="http://schemas.microsoft.com/office/drawing/2014/main" id="{80D63460-29FD-4C80-B181-B99203A1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69" name="Picture 1">
          <a:extLst>
            <a:ext uri="{FF2B5EF4-FFF2-40B4-BE49-F238E27FC236}">
              <a16:creationId xmlns:a16="http://schemas.microsoft.com/office/drawing/2014/main" id="{57A425A4-5FEE-4146-95CC-EA53BAD2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70" name="Picture 1">
          <a:extLst>
            <a:ext uri="{FF2B5EF4-FFF2-40B4-BE49-F238E27FC236}">
              <a16:creationId xmlns:a16="http://schemas.microsoft.com/office/drawing/2014/main" id="{EBA09645-027F-4558-9B3F-928D2678B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71" name="Picture 1">
          <a:extLst>
            <a:ext uri="{FF2B5EF4-FFF2-40B4-BE49-F238E27FC236}">
              <a16:creationId xmlns:a16="http://schemas.microsoft.com/office/drawing/2014/main" id="{405A8984-D1EF-4CBA-9FA8-52B823B4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72" name="Picture 1">
          <a:extLst>
            <a:ext uri="{FF2B5EF4-FFF2-40B4-BE49-F238E27FC236}">
              <a16:creationId xmlns:a16="http://schemas.microsoft.com/office/drawing/2014/main" id="{03EDFC58-A9F5-46DD-AAAD-369E85ED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73" name="Picture 1">
          <a:extLst>
            <a:ext uri="{FF2B5EF4-FFF2-40B4-BE49-F238E27FC236}">
              <a16:creationId xmlns:a16="http://schemas.microsoft.com/office/drawing/2014/main" id="{5672E3EA-F6DF-4353-B4C9-37AB3617D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74" name="Picture 1">
          <a:extLst>
            <a:ext uri="{FF2B5EF4-FFF2-40B4-BE49-F238E27FC236}">
              <a16:creationId xmlns:a16="http://schemas.microsoft.com/office/drawing/2014/main" id="{8B9DB5FB-C4B1-4DAD-89FC-197F2675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75" name="Picture 1">
          <a:extLst>
            <a:ext uri="{FF2B5EF4-FFF2-40B4-BE49-F238E27FC236}">
              <a16:creationId xmlns:a16="http://schemas.microsoft.com/office/drawing/2014/main" id="{E87179C0-9C0C-4A73-A633-2BA9FF841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76" name="Picture 1">
          <a:extLst>
            <a:ext uri="{FF2B5EF4-FFF2-40B4-BE49-F238E27FC236}">
              <a16:creationId xmlns:a16="http://schemas.microsoft.com/office/drawing/2014/main" id="{B23DA5AC-5F1D-4168-9970-240AB43E8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77" name="Picture 1">
          <a:extLst>
            <a:ext uri="{FF2B5EF4-FFF2-40B4-BE49-F238E27FC236}">
              <a16:creationId xmlns:a16="http://schemas.microsoft.com/office/drawing/2014/main" id="{E72C450B-47A0-4D80-B9A1-2B0BA2DD7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78" name="Picture 1">
          <a:extLst>
            <a:ext uri="{FF2B5EF4-FFF2-40B4-BE49-F238E27FC236}">
              <a16:creationId xmlns:a16="http://schemas.microsoft.com/office/drawing/2014/main" id="{B0901615-3D21-492A-A0BF-E20D00738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79" name="Picture 1">
          <a:extLst>
            <a:ext uri="{FF2B5EF4-FFF2-40B4-BE49-F238E27FC236}">
              <a16:creationId xmlns:a16="http://schemas.microsoft.com/office/drawing/2014/main" id="{7148958F-0A65-4BAD-91A9-28E7F67D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80" name="Picture 1">
          <a:extLst>
            <a:ext uri="{FF2B5EF4-FFF2-40B4-BE49-F238E27FC236}">
              <a16:creationId xmlns:a16="http://schemas.microsoft.com/office/drawing/2014/main" id="{DD858001-B482-43C3-B47B-CAA7162F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81" name="Picture 1">
          <a:extLst>
            <a:ext uri="{FF2B5EF4-FFF2-40B4-BE49-F238E27FC236}">
              <a16:creationId xmlns:a16="http://schemas.microsoft.com/office/drawing/2014/main" id="{461CC7BD-2BCD-48E4-A0F8-709A104B7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82" name="Picture 1">
          <a:extLst>
            <a:ext uri="{FF2B5EF4-FFF2-40B4-BE49-F238E27FC236}">
              <a16:creationId xmlns:a16="http://schemas.microsoft.com/office/drawing/2014/main" id="{ACE3CD63-39F0-43BB-8933-9AADD9A7D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83" name="Picture 1">
          <a:extLst>
            <a:ext uri="{FF2B5EF4-FFF2-40B4-BE49-F238E27FC236}">
              <a16:creationId xmlns:a16="http://schemas.microsoft.com/office/drawing/2014/main" id="{AE30CEEA-590A-4458-9E79-5B8C431E8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84" name="Picture 1">
          <a:extLst>
            <a:ext uri="{FF2B5EF4-FFF2-40B4-BE49-F238E27FC236}">
              <a16:creationId xmlns:a16="http://schemas.microsoft.com/office/drawing/2014/main" id="{56105F28-4045-490B-8671-434F79FB7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85" name="Picture 1">
          <a:extLst>
            <a:ext uri="{FF2B5EF4-FFF2-40B4-BE49-F238E27FC236}">
              <a16:creationId xmlns:a16="http://schemas.microsoft.com/office/drawing/2014/main" id="{6D89F06F-E1A0-4DDE-8DC8-6CED6BA9E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86" name="Picture 1">
          <a:extLst>
            <a:ext uri="{FF2B5EF4-FFF2-40B4-BE49-F238E27FC236}">
              <a16:creationId xmlns:a16="http://schemas.microsoft.com/office/drawing/2014/main" id="{5DDFEF26-282E-409F-9F2C-4A61444C6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87" name="Picture 1">
          <a:extLst>
            <a:ext uri="{FF2B5EF4-FFF2-40B4-BE49-F238E27FC236}">
              <a16:creationId xmlns:a16="http://schemas.microsoft.com/office/drawing/2014/main" id="{C75EE6BB-1AFB-4F13-8829-B04ADFDB5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88" name="Picture 1">
          <a:extLst>
            <a:ext uri="{FF2B5EF4-FFF2-40B4-BE49-F238E27FC236}">
              <a16:creationId xmlns:a16="http://schemas.microsoft.com/office/drawing/2014/main" id="{BFB7D767-FD96-457B-944C-FCF2E8B5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89" name="Picture 1">
          <a:extLst>
            <a:ext uri="{FF2B5EF4-FFF2-40B4-BE49-F238E27FC236}">
              <a16:creationId xmlns:a16="http://schemas.microsoft.com/office/drawing/2014/main" id="{905DC2FA-9697-40AD-9F42-4EA7DD8D2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90" name="Picture 1">
          <a:extLst>
            <a:ext uri="{FF2B5EF4-FFF2-40B4-BE49-F238E27FC236}">
              <a16:creationId xmlns:a16="http://schemas.microsoft.com/office/drawing/2014/main" id="{27DC8B6B-F529-4959-9CE7-06AD5CA6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91" name="Picture 1">
          <a:extLst>
            <a:ext uri="{FF2B5EF4-FFF2-40B4-BE49-F238E27FC236}">
              <a16:creationId xmlns:a16="http://schemas.microsoft.com/office/drawing/2014/main" id="{F54CC6A7-97BE-4FD5-8E1E-A2D3B8DBD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92" name="Picture 1">
          <a:extLst>
            <a:ext uri="{FF2B5EF4-FFF2-40B4-BE49-F238E27FC236}">
              <a16:creationId xmlns:a16="http://schemas.microsoft.com/office/drawing/2014/main" id="{E0395796-0D01-4CEF-81A8-7490232B6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93" name="Picture 1">
          <a:extLst>
            <a:ext uri="{FF2B5EF4-FFF2-40B4-BE49-F238E27FC236}">
              <a16:creationId xmlns:a16="http://schemas.microsoft.com/office/drawing/2014/main" id="{7239C047-04A7-40E7-A30B-DC3F7D864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94" name="Picture 1">
          <a:extLst>
            <a:ext uri="{FF2B5EF4-FFF2-40B4-BE49-F238E27FC236}">
              <a16:creationId xmlns:a16="http://schemas.microsoft.com/office/drawing/2014/main" id="{DCF6EB24-61CB-46A5-9CF2-BF4B94D5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95" name="Picture 1">
          <a:extLst>
            <a:ext uri="{FF2B5EF4-FFF2-40B4-BE49-F238E27FC236}">
              <a16:creationId xmlns:a16="http://schemas.microsoft.com/office/drawing/2014/main" id="{953CA348-5AF9-4A97-8143-12F43DD4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96" name="Picture 1">
          <a:extLst>
            <a:ext uri="{FF2B5EF4-FFF2-40B4-BE49-F238E27FC236}">
              <a16:creationId xmlns:a16="http://schemas.microsoft.com/office/drawing/2014/main" id="{F77D60CD-A1E3-4598-8957-BF4C9BC16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97" name="Picture 1">
          <a:extLst>
            <a:ext uri="{FF2B5EF4-FFF2-40B4-BE49-F238E27FC236}">
              <a16:creationId xmlns:a16="http://schemas.microsoft.com/office/drawing/2014/main" id="{37EDB086-8A47-44CD-BB7F-5A44FC77D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98" name="Picture 1">
          <a:extLst>
            <a:ext uri="{FF2B5EF4-FFF2-40B4-BE49-F238E27FC236}">
              <a16:creationId xmlns:a16="http://schemas.microsoft.com/office/drawing/2014/main" id="{A7BE6AC3-197A-4B9C-869C-E9C0ABD9C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99" name="Picture 1">
          <a:extLst>
            <a:ext uri="{FF2B5EF4-FFF2-40B4-BE49-F238E27FC236}">
              <a16:creationId xmlns:a16="http://schemas.microsoft.com/office/drawing/2014/main" id="{A9BCCA5B-7DEB-4E54-B7B9-FFF0C79B5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00" name="Picture 1">
          <a:extLst>
            <a:ext uri="{FF2B5EF4-FFF2-40B4-BE49-F238E27FC236}">
              <a16:creationId xmlns:a16="http://schemas.microsoft.com/office/drawing/2014/main" id="{93567B18-984B-4BFC-B4A6-D9CDA76C7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01" name="Picture 1">
          <a:extLst>
            <a:ext uri="{FF2B5EF4-FFF2-40B4-BE49-F238E27FC236}">
              <a16:creationId xmlns:a16="http://schemas.microsoft.com/office/drawing/2014/main" id="{89A7C611-F2F2-4820-99D3-4E527FC61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02" name="Picture 1">
          <a:extLst>
            <a:ext uri="{FF2B5EF4-FFF2-40B4-BE49-F238E27FC236}">
              <a16:creationId xmlns:a16="http://schemas.microsoft.com/office/drawing/2014/main" id="{C352C945-D362-443E-842C-CA8F5AE4C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03" name="Picture 1">
          <a:extLst>
            <a:ext uri="{FF2B5EF4-FFF2-40B4-BE49-F238E27FC236}">
              <a16:creationId xmlns:a16="http://schemas.microsoft.com/office/drawing/2014/main" id="{02908E1E-B95D-4DAD-A812-14C1880D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04" name="Picture 1">
          <a:extLst>
            <a:ext uri="{FF2B5EF4-FFF2-40B4-BE49-F238E27FC236}">
              <a16:creationId xmlns:a16="http://schemas.microsoft.com/office/drawing/2014/main" id="{F2B0B024-7C1E-497C-8576-883678AD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05" name="Picture 1">
          <a:extLst>
            <a:ext uri="{FF2B5EF4-FFF2-40B4-BE49-F238E27FC236}">
              <a16:creationId xmlns:a16="http://schemas.microsoft.com/office/drawing/2014/main" id="{52AFD250-5BD5-4C0E-A430-3A2D5AC93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06" name="Picture 1">
          <a:extLst>
            <a:ext uri="{FF2B5EF4-FFF2-40B4-BE49-F238E27FC236}">
              <a16:creationId xmlns:a16="http://schemas.microsoft.com/office/drawing/2014/main" id="{924B6592-ABE4-42E2-AD8B-C096331F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07" name="Picture 1">
          <a:extLst>
            <a:ext uri="{FF2B5EF4-FFF2-40B4-BE49-F238E27FC236}">
              <a16:creationId xmlns:a16="http://schemas.microsoft.com/office/drawing/2014/main" id="{FFE13F49-C9D6-4A21-B96E-E3CE2AF27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08" name="Picture 1">
          <a:extLst>
            <a:ext uri="{FF2B5EF4-FFF2-40B4-BE49-F238E27FC236}">
              <a16:creationId xmlns:a16="http://schemas.microsoft.com/office/drawing/2014/main" id="{2D69A8FA-D882-4AFD-927D-53EDCC96C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109" name="Picture 1">
          <a:extLst>
            <a:ext uri="{FF2B5EF4-FFF2-40B4-BE49-F238E27FC236}">
              <a16:creationId xmlns:a16="http://schemas.microsoft.com/office/drawing/2014/main" id="{213331B0-5F9C-4B32-BD94-F951D3E98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110" name="Picture 1">
          <a:extLst>
            <a:ext uri="{FF2B5EF4-FFF2-40B4-BE49-F238E27FC236}">
              <a16:creationId xmlns:a16="http://schemas.microsoft.com/office/drawing/2014/main" id="{7724899E-D93F-456C-8913-26B53CA4C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111" name="Picture 1">
          <a:extLst>
            <a:ext uri="{FF2B5EF4-FFF2-40B4-BE49-F238E27FC236}">
              <a16:creationId xmlns:a16="http://schemas.microsoft.com/office/drawing/2014/main" id="{7A762F3E-B037-4925-A363-F84E7E6F7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12" name="Picture 1">
          <a:extLst>
            <a:ext uri="{FF2B5EF4-FFF2-40B4-BE49-F238E27FC236}">
              <a16:creationId xmlns:a16="http://schemas.microsoft.com/office/drawing/2014/main" id="{F9E1D780-EA45-499F-B3CA-3907EDB5D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13" name="Picture 1">
          <a:extLst>
            <a:ext uri="{FF2B5EF4-FFF2-40B4-BE49-F238E27FC236}">
              <a16:creationId xmlns:a16="http://schemas.microsoft.com/office/drawing/2014/main" id="{85FF6D6F-AB6C-4244-BC3D-958119880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114" name="Picture 1">
          <a:extLst>
            <a:ext uri="{FF2B5EF4-FFF2-40B4-BE49-F238E27FC236}">
              <a16:creationId xmlns:a16="http://schemas.microsoft.com/office/drawing/2014/main" id="{99648130-0B6B-4C6B-BAF8-E33E6533C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15" name="Picture 1">
          <a:extLst>
            <a:ext uri="{FF2B5EF4-FFF2-40B4-BE49-F238E27FC236}">
              <a16:creationId xmlns:a16="http://schemas.microsoft.com/office/drawing/2014/main" id="{67F20B6D-F722-4DDC-B8E5-D506D1F2B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16" name="Picture 1">
          <a:extLst>
            <a:ext uri="{FF2B5EF4-FFF2-40B4-BE49-F238E27FC236}">
              <a16:creationId xmlns:a16="http://schemas.microsoft.com/office/drawing/2014/main" id="{1B965A7A-BF8F-4625-9288-34D03F52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117" name="Picture 1">
          <a:extLst>
            <a:ext uri="{FF2B5EF4-FFF2-40B4-BE49-F238E27FC236}">
              <a16:creationId xmlns:a16="http://schemas.microsoft.com/office/drawing/2014/main" id="{F1B8F4D9-8477-401A-B805-3262A975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18" name="Picture 1">
          <a:extLst>
            <a:ext uri="{FF2B5EF4-FFF2-40B4-BE49-F238E27FC236}">
              <a16:creationId xmlns:a16="http://schemas.microsoft.com/office/drawing/2014/main" id="{11E065BB-874C-4396-95FC-40D2F8B90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19" name="Picture 1">
          <a:extLst>
            <a:ext uri="{FF2B5EF4-FFF2-40B4-BE49-F238E27FC236}">
              <a16:creationId xmlns:a16="http://schemas.microsoft.com/office/drawing/2014/main" id="{98411694-6556-464D-8506-5DC68712F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120" name="Picture 1">
          <a:extLst>
            <a:ext uri="{FF2B5EF4-FFF2-40B4-BE49-F238E27FC236}">
              <a16:creationId xmlns:a16="http://schemas.microsoft.com/office/drawing/2014/main" id="{BE3AC4EF-04E7-4892-8285-E83A4AF2C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121" name="Picture 1">
          <a:extLst>
            <a:ext uri="{FF2B5EF4-FFF2-40B4-BE49-F238E27FC236}">
              <a16:creationId xmlns:a16="http://schemas.microsoft.com/office/drawing/2014/main" id="{46F7966F-D479-438B-96C6-661C9C3D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122" name="Picture 1">
          <a:extLst>
            <a:ext uri="{FF2B5EF4-FFF2-40B4-BE49-F238E27FC236}">
              <a16:creationId xmlns:a16="http://schemas.microsoft.com/office/drawing/2014/main" id="{B88F15DC-C8D8-4225-AA11-796B0A66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123" name="Picture 1">
          <a:extLst>
            <a:ext uri="{FF2B5EF4-FFF2-40B4-BE49-F238E27FC236}">
              <a16:creationId xmlns:a16="http://schemas.microsoft.com/office/drawing/2014/main" id="{FAA4B61C-73ED-4454-AF2E-9ABA47F7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45</xdr:row>
      <xdr:rowOff>144000</xdr:rowOff>
    </xdr:from>
    <xdr:ext cx="1294920" cy="57960"/>
    <xdr:pic>
      <xdr:nvPicPr>
        <xdr:cNvPr id="124" name="Picture 1">
          <a:extLst>
            <a:ext uri="{FF2B5EF4-FFF2-40B4-BE49-F238E27FC236}">
              <a16:creationId xmlns:a16="http://schemas.microsoft.com/office/drawing/2014/main" id="{0B10E152-C4C1-4903-8298-E4361C38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421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45</xdr:row>
      <xdr:rowOff>144000</xdr:rowOff>
    </xdr:from>
    <xdr:ext cx="1294920" cy="57960"/>
    <xdr:pic>
      <xdr:nvPicPr>
        <xdr:cNvPr id="125" name="Picture 1">
          <a:extLst>
            <a:ext uri="{FF2B5EF4-FFF2-40B4-BE49-F238E27FC236}">
              <a16:creationId xmlns:a16="http://schemas.microsoft.com/office/drawing/2014/main" id="{911D6E02-2960-41E6-9A8F-8A5EE7D2B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421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46</xdr:row>
      <xdr:rowOff>144360</xdr:rowOff>
    </xdr:from>
    <xdr:ext cx="1294920" cy="57240"/>
    <xdr:pic>
      <xdr:nvPicPr>
        <xdr:cNvPr id="126" name="Picture 1">
          <a:extLst>
            <a:ext uri="{FF2B5EF4-FFF2-40B4-BE49-F238E27FC236}">
              <a16:creationId xmlns:a16="http://schemas.microsoft.com/office/drawing/2014/main" id="{3BB35FB6-B92C-414D-AEC3-F7364FD1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6217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46</xdr:row>
      <xdr:rowOff>144360</xdr:rowOff>
    </xdr:from>
    <xdr:ext cx="1294920" cy="57240"/>
    <xdr:pic>
      <xdr:nvPicPr>
        <xdr:cNvPr id="127" name="Picture 1">
          <a:extLst>
            <a:ext uri="{FF2B5EF4-FFF2-40B4-BE49-F238E27FC236}">
              <a16:creationId xmlns:a16="http://schemas.microsoft.com/office/drawing/2014/main" id="{15402958-7ED5-45E5-B37A-02DC2200C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6217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46</xdr:row>
      <xdr:rowOff>144360</xdr:rowOff>
    </xdr:from>
    <xdr:ext cx="1294920" cy="57240"/>
    <xdr:pic>
      <xdr:nvPicPr>
        <xdr:cNvPr id="128" name="Picture 1">
          <a:extLst>
            <a:ext uri="{FF2B5EF4-FFF2-40B4-BE49-F238E27FC236}">
              <a16:creationId xmlns:a16="http://schemas.microsoft.com/office/drawing/2014/main" id="{67517A96-F38E-4527-A5F1-3C9EF382F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6217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47</xdr:row>
      <xdr:rowOff>144360</xdr:rowOff>
    </xdr:from>
    <xdr:ext cx="1294920" cy="57240"/>
    <xdr:pic>
      <xdr:nvPicPr>
        <xdr:cNvPr id="129" name="Picture 1">
          <a:extLst>
            <a:ext uri="{FF2B5EF4-FFF2-40B4-BE49-F238E27FC236}">
              <a16:creationId xmlns:a16="http://schemas.microsoft.com/office/drawing/2014/main" id="{C8F315F6-9156-42E0-B8DE-37940DD82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982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49</xdr:row>
      <xdr:rowOff>144360</xdr:rowOff>
    </xdr:from>
    <xdr:ext cx="1294920" cy="57240"/>
    <xdr:pic>
      <xdr:nvPicPr>
        <xdr:cNvPr id="130" name="Picture 1">
          <a:extLst>
            <a:ext uri="{FF2B5EF4-FFF2-40B4-BE49-F238E27FC236}">
              <a16:creationId xmlns:a16="http://schemas.microsoft.com/office/drawing/2014/main" id="{B8BC6FEA-2D11-463A-9750-3A8AF77FF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221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49</xdr:row>
      <xdr:rowOff>144360</xdr:rowOff>
    </xdr:from>
    <xdr:ext cx="1294920" cy="57240"/>
    <xdr:pic>
      <xdr:nvPicPr>
        <xdr:cNvPr id="131" name="Picture 1">
          <a:extLst>
            <a:ext uri="{FF2B5EF4-FFF2-40B4-BE49-F238E27FC236}">
              <a16:creationId xmlns:a16="http://schemas.microsoft.com/office/drawing/2014/main" id="{85DBE487-C4C0-476F-A18D-22713307E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221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49</xdr:row>
      <xdr:rowOff>144360</xdr:rowOff>
    </xdr:from>
    <xdr:ext cx="1294920" cy="57240"/>
    <xdr:pic>
      <xdr:nvPicPr>
        <xdr:cNvPr id="132" name="Picture 1">
          <a:extLst>
            <a:ext uri="{FF2B5EF4-FFF2-40B4-BE49-F238E27FC236}">
              <a16:creationId xmlns:a16="http://schemas.microsoft.com/office/drawing/2014/main" id="{FEB7EA50-E6E9-4E1C-9D46-8CC49BAF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221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50</xdr:row>
      <xdr:rowOff>144000</xdr:rowOff>
    </xdr:from>
    <xdr:ext cx="1294920" cy="57960"/>
    <xdr:pic>
      <xdr:nvPicPr>
        <xdr:cNvPr id="133" name="Picture 1">
          <a:extLst>
            <a:ext uri="{FF2B5EF4-FFF2-40B4-BE49-F238E27FC236}">
              <a16:creationId xmlns:a16="http://schemas.microsoft.com/office/drawing/2014/main" id="{4C5932EB-A055-49DB-901C-469F7BD6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411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50</xdr:row>
      <xdr:rowOff>144000</xdr:rowOff>
    </xdr:from>
    <xdr:ext cx="1294920" cy="57960"/>
    <xdr:pic>
      <xdr:nvPicPr>
        <xdr:cNvPr id="134" name="Picture 1">
          <a:extLst>
            <a:ext uri="{FF2B5EF4-FFF2-40B4-BE49-F238E27FC236}">
              <a16:creationId xmlns:a16="http://schemas.microsoft.com/office/drawing/2014/main" id="{C3FA1FC9-FE10-4848-A912-74AE48F7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411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51</xdr:row>
      <xdr:rowOff>144360</xdr:rowOff>
    </xdr:from>
    <xdr:ext cx="1294920" cy="57240"/>
    <xdr:pic>
      <xdr:nvPicPr>
        <xdr:cNvPr id="135" name="Picture 1">
          <a:extLst>
            <a:ext uri="{FF2B5EF4-FFF2-40B4-BE49-F238E27FC236}">
              <a16:creationId xmlns:a16="http://schemas.microsoft.com/office/drawing/2014/main" id="{9AA007D2-24F2-4884-BB81-7DCE812C5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60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51</xdr:row>
      <xdr:rowOff>144360</xdr:rowOff>
    </xdr:from>
    <xdr:ext cx="1294920" cy="57240"/>
    <xdr:pic>
      <xdr:nvPicPr>
        <xdr:cNvPr id="136" name="Picture 1">
          <a:extLst>
            <a:ext uri="{FF2B5EF4-FFF2-40B4-BE49-F238E27FC236}">
              <a16:creationId xmlns:a16="http://schemas.microsoft.com/office/drawing/2014/main" id="{5DEC875B-D238-486C-8D07-469C94DF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60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51</xdr:row>
      <xdr:rowOff>144360</xdr:rowOff>
    </xdr:from>
    <xdr:ext cx="1294920" cy="57240"/>
    <xdr:pic>
      <xdr:nvPicPr>
        <xdr:cNvPr id="137" name="Picture 1">
          <a:extLst>
            <a:ext uri="{FF2B5EF4-FFF2-40B4-BE49-F238E27FC236}">
              <a16:creationId xmlns:a16="http://schemas.microsoft.com/office/drawing/2014/main" id="{E4B552E8-792C-4AB1-9583-D134977B7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60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52</xdr:row>
      <xdr:rowOff>144360</xdr:rowOff>
    </xdr:from>
    <xdr:ext cx="1294920" cy="57240"/>
    <xdr:pic>
      <xdr:nvPicPr>
        <xdr:cNvPr id="138" name="Picture 1">
          <a:extLst>
            <a:ext uri="{FF2B5EF4-FFF2-40B4-BE49-F238E27FC236}">
              <a16:creationId xmlns:a16="http://schemas.microsoft.com/office/drawing/2014/main" id="{B7FD1202-5F05-4C32-AD8E-1C3E3203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793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52</xdr:row>
      <xdr:rowOff>144360</xdr:rowOff>
    </xdr:from>
    <xdr:ext cx="1294920" cy="57240"/>
    <xdr:pic>
      <xdr:nvPicPr>
        <xdr:cNvPr id="139" name="Picture 1">
          <a:extLst>
            <a:ext uri="{FF2B5EF4-FFF2-40B4-BE49-F238E27FC236}">
              <a16:creationId xmlns:a16="http://schemas.microsoft.com/office/drawing/2014/main" id="{FEE47CA9-27F9-41C4-8491-2F9DFF5E0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0793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54</xdr:row>
      <xdr:rowOff>144360</xdr:rowOff>
    </xdr:from>
    <xdr:ext cx="1294920" cy="57240"/>
    <xdr:pic>
      <xdr:nvPicPr>
        <xdr:cNvPr id="140" name="Picture 1">
          <a:extLst>
            <a:ext uri="{FF2B5EF4-FFF2-40B4-BE49-F238E27FC236}">
              <a16:creationId xmlns:a16="http://schemas.microsoft.com/office/drawing/2014/main" id="{10690705-ED2E-467B-B88D-D0F1E22CE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174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54</xdr:row>
      <xdr:rowOff>144360</xdr:rowOff>
    </xdr:from>
    <xdr:ext cx="1294920" cy="57240"/>
    <xdr:pic>
      <xdr:nvPicPr>
        <xdr:cNvPr id="141" name="Picture 1">
          <a:extLst>
            <a:ext uri="{FF2B5EF4-FFF2-40B4-BE49-F238E27FC236}">
              <a16:creationId xmlns:a16="http://schemas.microsoft.com/office/drawing/2014/main" id="{EFE740CC-226C-4650-89AB-86CB8F683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174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142" name="Picture 1">
          <a:extLst>
            <a:ext uri="{FF2B5EF4-FFF2-40B4-BE49-F238E27FC236}">
              <a16:creationId xmlns:a16="http://schemas.microsoft.com/office/drawing/2014/main" id="{18AF0552-A2F5-4888-9EC2-D44A23044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143" name="Picture 1">
          <a:extLst>
            <a:ext uri="{FF2B5EF4-FFF2-40B4-BE49-F238E27FC236}">
              <a16:creationId xmlns:a16="http://schemas.microsoft.com/office/drawing/2014/main" id="{E5B5ED83-BB59-4E50-8DF1-B6B56FCBF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144" name="Picture 1">
          <a:extLst>
            <a:ext uri="{FF2B5EF4-FFF2-40B4-BE49-F238E27FC236}">
              <a16:creationId xmlns:a16="http://schemas.microsoft.com/office/drawing/2014/main" id="{8938223A-39AD-4626-A649-C58A99C68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145" name="Picture 1">
          <a:extLst>
            <a:ext uri="{FF2B5EF4-FFF2-40B4-BE49-F238E27FC236}">
              <a16:creationId xmlns:a16="http://schemas.microsoft.com/office/drawing/2014/main" id="{7E59C0B7-2AA9-4119-B2BD-6B79FA1A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146" name="Picture 1">
          <a:extLst>
            <a:ext uri="{FF2B5EF4-FFF2-40B4-BE49-F238E27FC236}">
              <a16:creationId xmlns:a16="http://schemas.microsoft.com/office/drawing/2014/main" id="{6BD2B7D1-6D06-4A31-A925-EB60A4C59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147" name="Picture 1">
          <a:extLst>
            <a:ext uri="{FF2B5EF4-FFF2-40B4-BE49-F238E27FC236}">
              <a16:creationId xmlns:a16="http://schemas.microsoft.com/office/drawing/2014/main" id="{2BE034C0-3124-4B41-9E87-756CBEE3A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148" name="Picture 1">
          <a:extLst>
            <a:ext uri="{FF2B5EF4-FFF2-40B4-BE49-F238E27FC236}">
              <a16:creationId xmlns:a16="http://schemas.microsoft.com/office/drawing/2014/main" id="{9570FA5E-0665-46C3-85D0-EDD651F7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149" name="Picture 1">
          <a:extLst>
            <a:ext uri="{FF2B5EF4-FFF2-40B4-BE49-F238E27FC236}">
              <a16:creationId xmlns:a16="http://schemas.microsoft.com/office/drawing/2014/main" id="{ED8ABD43-05E7-4039-9F5F-559B75385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150" name="Picture 1">
          <a:extLst>
            <a:ext uri="{FF2B5EF4-FFF2-40B4-BE49-F238E27FC236}">
              <a16:creationId xmlns:a16="http://schemas.microsoft.com/office/drawing/2014/main" id="{03E224D0-1C24-47EB-8E30-97D39A65D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151" name="Picture 1">
          <a:extLst>
            <a:ext uri="{FF2B5EF4-FFF2-40B4-BE49-F238E27FC236}">
              <a16:creationId xmlns:a16="http://schemas.microsoft.com/office/drawing/2014/main" id="{ADAEE024-C413-40BA-89B2-D0369161D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152" name="Picture 1">
          <a:extLst>
            <a:ext uri="{FF2B5EF4-FFF2-40B4-BE49-F238E27FC236}">
              <a16:creationId xmlns:a16="http://schemas.microsoft.com/office/drawing/2014/main" id="{1F224ECB-123C-4228-8532-D692E2C8A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153" name="Picture 1">
          <a:extLst>
            <a:ext uri="{FF2B5EF4-FFF2-40B4-BE49-F238E27FC236}">
              <a16:creationId xmlns:a16="http://schemas.microsoft.com/office/drawing/2014/main" id="{C3122B4F-E30E-484D-AD49-18851BF9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154" name="Picture 1">
          <a:extLst>
            <a:ext uri="{FF2B5EF4-FFF2-40B4-BE49-F238E27FC236}">
              <a16:creationId xmlns:a16="http://schemas.microsoft.com/office/drawing/2014/main" id="{08B84A9D-78D2-45B0-AEC1-B223F95DF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155" name="Picture 1">
          <a:extLst>
            <a:ext uri="{FF2B5EF4-FFF2-40B4-BE49-F238E27FC236}">
              <a16:creationId xmlns:a16="http://schemas.microsoft.com/office/drawing/2014/main" id="{6032CC04-4A30-43A4-A166-2988CE726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156" name="Picture 1">
          <a:extLst>
            <a:ext uri="{FF2B5EF4-FFF2-40B4-BE49-F238E27FC236}">
              <a16:creationId xmlns:a16="http://schemas.microsoft.com/office/drawing/2014/main" id="{E60DCCF3-B53A-4BD5-B7F9-B4E56492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157" name="Picture 1">
          <a:extLst>
            <a:ext uri="{FF2B5EF4-FFF2-40B4-BE49-F238E27FC236}">
              <a16:creationId xmlns:a16="http://schemas.microsoft.com/office/drawing/2014/main" id="{547DE2B8-C13E-4604-B80E-57464356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158" name="Picture 1">
          <a:extLst>
            <a:ext uri="{FF2B5EF4-FFF2-40B4-BE49-F238E27FC236}">
              <a16:creationId xmlns:a16="http://schemas.microsoft.com/office/drawing/2014/main" id="{E556286B-57FE-4170-BD3D-784CA954F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159" name="Picture 1">
          <a:extLst>
            <a:ext uri="{FF2B5EF4-FFF2-40B4-BE49-F238E27FC236}">
              <a16:creationId xmlns:a16="http://schemas.microsoft.com/office/drawing/2014/main" id="{69538EB4-D22A-41A9-919D-789D0DA1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160" name="Picture 1">
          <a:extLst>
            <a:ext uri="{FF2B5EF4-FFF2-40B4-BE49-F238E27FC236}">
              <a16:creationId xmlns:a16="http://schemas.microsoft.com/office/drawing/2014/main" id="{173724CE-B524-41C7-86A6-5F359D2D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161" name="Picture 1">
          <a:extLst>
            <a:ext uri="{FF2B5EF4-FFF2-40B4-BE49-F238E27FC236}">
              <a16:creationId xmlns:a16="http://schemas.microsoft.com/office/drawing/2014/main" id="{40EFF20E-7E8C-4230-82A7-B38E87B8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162" name="Picture 1">
          <a:extLst>
            <a:ext uri="{FF2B5EF4-FFF2-40B4-BE49-F238E27FC236}">
              <a16:creationId xmlns:a16="http://schemas.microsoft.com/office/drawing/2014/main" id="{F5D13C0F-795A-49F4-8CA5-120A8BC24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163" name="Picture 1">
          <a:extLst>
            <a:ext uri="{FF2B5EF4-FFF2-40B4-BE49-F238E27FC236}">
              <a16:creationId xmlns:a16="http://schemas.microsoft.com/office/drawing/2014/main" id="{E29609E0-B88E-410B-A70A-48BD79B82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164" name="Picture 1">
          <a:extLst>
            <a:ext uri="{FF2B5EF4-FFF2-40B4-BE49-F238E27FC236}">
              <a16:creationId xmlns:a16="http://schemas.microsoft.com/office/drawing/2014/main" id="{8166A9FF-DEA0-4BE6-8418-461B41B1F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165" name="Picture 1">
          <a:extLst>
            <a:ext uri="{FF2B5EF4-FFF2-40B4-BE49-F238E27FC236}">
              <a16:creationId xmlns:a16="http://schemas.microsoft.com/office/drawing/2014/main" id="{A9BC1D3D-6835-42D4-B655-3E04E0A4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166" name="Picture 1">
          <a:extLst>
            <a:ext uri="{FF2B5EF4-FFF2-40B4-BE49-F238E27FC236}">
              <a16:creationId xmlns:a16="http://schemas.microsoft.com/office/drawing/2014/main" id="{F92575B2-3292-4C03-B817-7E7C76D0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167" name="Picture 1">
          <a:extLst>
            <a:ext uri="{FF2B5EF4-FFF2-40B4-BE49-F238E27FC236}">
              <a16:creationId xmlns:a16="http://schemas.microsoft.com/office/drawing/2014/main" id="{CBAC5998-281C-4902-8ABD-8F4C15B7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168" name="Picture 1">
          <a:extLst>
            <a:ext uri="{FF2B5EF4-FFF2-40B4-BE49-F238E27FC236}">
              <a16:creationId xmlns:a16="http://schemas.microsoft.com/office/drawing/2014/main" id="{3CC8B65F-6750-4D9D-AFD0-18CE2CD7F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169" name="Picture 1">
          <a:extLst>
            <a:ext uri="{FF2B5EF4-FFF2-40B4-BE49-F238E27FC236}">
              <a16:creationId xmlns:a16="http://schemas.microsoft.com/office/drawing/2014/main" id="{9DABB0AE-DC97-4181-B4BE-5CDE2B35D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170" name="Picture 1">
          <a:extLst>
            <a:ext uri="{FF2B5EF4-FFF2-40B4-BE49-F238E27FC236}">
              <a16:creationId xmlns:a16="http://schemas.microsoft.com/office/drawing/2014/main" id="{A5241D01-6555-49B1-BFED-27361AFF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171" name="Picture 1">
          <a:extLst>
            <a:ext uri="{FF2B5EF4-FFF2-40B4-BE49-F238E27FC236}">
              <a16:creationId xmlns:a16="http://schemas.microsoft.com/office/drawing/2014/main" id="{E692CD04-73A2-46A3-BA79-0946CCB0C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172" name="Picture 1">
          <a:extLst>
            <a:ext uri="{FF2B5EF4-FFF2-40B4-BE49-F238E27FC236}">
              <a16:creationId xmlns:a16="http://schemas.microsoft.com/office/drawing/2014/main" id="{A7361B3A-29D6-4D0C-8B44-5C16F4AAD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173" name="Picture 1">
          <a:extLst>
            <a:ext uri="{FF2B5EF4-FFF2-40B4-BE49-F238E27FC236}">
              <a16:creationId xmlns:a16="http://schemas.microsoft.com/office/drawing/2014/main" id="{62C6A4FA-8A78-47AC-9B91-8FB2C7872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174" name="Picture 1">
          <a:extLst>
            <a:ext uri="{FF2B5EF4-FFF2-40B4-BE49-F238E27FC236}">
              <a16:creationId xmlns:a16="http://schemas.microsoft.com/office/drawing/2014/main" id="{4236480D-0095-4B4E-932F-89A98E5C7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175" name="Picture 1">
          <a:extLst>
            <a:ext uri="{FF2B5EF4-FFF2-40B4-BE49-F238E27FC236}">
              <a16:creationId xmlns:a16="http://schemas.microsoft.com/office/drawing/2014/main" id="{CA74AF59-627A-47F3-960C-B2B9D0AAE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176" name="Picture 1">
          <a:extLst>
            <a:ext uri="{FF2B5EF4-FFF2-40B4-BE49-F238E27FC236}">
              <a16:creationId xmlns:a16="http://schemas.microsoft.com/office/drawing/2014/main" id="{9EAECF42-78A9-4220-B948-CE040AA96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177" name="Picture 1">
          <a:extLst>
            <a:ext uri="{FF2B5EF4-FFF2-40B4-BE49-F238E27FC236}">
              <a16:creationId xmlns:a16="http://schemas.microsoft.com/office/drawing/2014/main" id="{FAE5B1A5-CE92-4101-8372-2C435B6E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178" name="Picture 1">
          <a:extLst>
            <a:ext uri="{FF2B5EF4-FFF2-40B4-BE49-F238E27FC236}">
              <a16:creationId xmlns:a16="http://schemas.microsoft.com/office/drawing/2014/main" id="{0A522CBA-9CE9-46F9-A815-390D6B1F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179" name="Picture 1">
          <a:extLst>
            <a:ext uri="{FF2B5EF4-FFF2-40B4-BE49-F238E27FC236}">
              <a16:creationId xmlns:a16="http://schemas.microsoft.com/office/drawing/2014/main" id="{4B9ECD5B-165C-4D90-BA52-0BADE751A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180" name="Picture 1">
          <a:extLst>
            <a:ext uri="{FF2B5EF4-FFF2-40B4-BE49-F238E27FC236}">
              <a16:creationId xmlns:a16="http://schemas.microsoft.com/office/drawing/2014/main" id="{58A5A70D-FD1A-4E8F-A507-40D8190D2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181" name="Picture 1">
          <a:extLst>
            <a:ext uri="{FF2B5EF4-FFF2-40B4-BE49-F238E27FC236}">
              <a16:creationId xmlns:a16="http://schemas.microsoft.com/office/drawing/2014/main" id="{205F43CA-195E-45F0-9F09-9469C68DE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182" name="Picture 1">
          <a:extLst>
            <a:ext uri="{FF2B5EF4-FFF2-40B4-BE49-F238E27FC236}">
              <a16:creationId xmlns:a16="http://schemas.microsoft.com/office/drawing/2014/main" id="{330828CF-F290-4964-A266-008197798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183" name="Picture 1">
          <a:extLst>
            <a:ext uri="{FF2B5EF4-FFF2-40B4-BE49-F238E27FC236}">
              <a16:creationId xmlns:a16="http://schemas.microsoft.com/office/drawing/2014/main" id="{559DA9DC-420C-48EB-A7BE-830F09A18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184" name="Picture 1">
          <a:extLst>
            <a:ext uri="{FF2B5EF4-FFF2-40B4-BE49-F238E27FC236}">
              <a16:creationId xmlns:a16="http://schemas.microsoft.com/office/drawing/2014/main" id="{31BC9C45-57DD-4D0B-A882-16F5255B7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185" name="Picture 1">
          <a:extLst>
            <a:ext uri="{FF2B5EF4-FFF2-40B4-BE49-F238E27FC236}">
              <a16:creationId xmlns:a16="http://schemas.microsoft.com/office/drawing/2014/main" id="{6EDD3EE4-6C41-4DFF-96F9-547CC300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186" name="Picture 1">
          <a:extLst>
            <a:ext uri="{FF2B5EF4-FFF2-40B4-BE49-F238E27FC236}">
              <a16:creationId xmlns:a16="http://schemas.microsoft.com/office/drawing/2014/main" id="{F70D898B-0947-48A0-A4C8-DED81C51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187" name="Picture 1">
          <a:extLst>
            <a:ext uri="{FF2B5EF4-FFF2-40B4-BE49-F238E27FC236}">
              <a16:creationId xmlns:a16="http://schemas.microsoft.com/office/drawing/2014/main" id="{B039A5F8-A3A6-4C51-A118-3D29AF142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188" name="Picture 1">
          <a:extLst>
            <a:ext uri="{FF2B5EF4-FFF2-40B4-BE49-F238E27FC236}">
              <a16:creationId xmlns:a16="http://schemas.microsoft.com/office/drawing/2014/main" id="{9A9B3723-053D-4358-A348-1B4759B1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189" name="Picture 1">
          <a:extLst>
            <a:ext uri="{FF2B5EF4-FFF2-40B4-BE49-F238E27FC236}">
              <a16:creationId xmlns:a16="http://schemas.microsoft.com/office/drawing/2014/main" id="{CE7404AC-29EF-494D-8289-15D81454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190" name="Picture 1">
          <a:extLst>
            <a:ext uri="{FF2B5EF4-FFF2-40B4-BE49-F238E27FC236}">
              <a16:creationId xmlns:a16="http://schemas.microsoft.com/office/drawing/2014/main" id="{155CE7F1-CD62-4D33-9685-83FB3121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191" name="Picture 1">
          <a:extLst>
            <a:ext uri="{FF2B5EF4-FFF2-40B4-BE49-F238E27FC236}">
              <a16:creationId xmlns:a16="http://schemas.microsoft.com/office/drawing/2014/main" id="{ECB0ADA6-63CC-41FE-B550-9E836E0E1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192" name="Picture 1">
          <a:extLst>
            <a:ext uri="{FF2B5EF4-FFF2-40B4-BE49-F238E27FC236}">
              <a16:creationId xmlns:a16="http://schemas.microsoft.com/office/drawing/2014/main" id="{A07F7A3B-8476-4497-88FD-CF180116B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193" name="Picture 1">
          <a:extLst>
            <a:ext uri="{FF2B5EF4-FFF2-40B4-BE49-F238E27FC236}">
              <a16:creationId xmlns:a16="http://schemas.microsoft.com/office/drawing/2014/main" id="{9D1465B1-9258-4A51-A6B9-BEF190A4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194" name="Picture 1">
          <a:extLst>
            <a:ext uri="{FF2B5EF4-FFF2-40B4-BE49-F238E27FC236}">
              <a16:creationId xmlns:a16="http://schemas.microsoft.com/office/drawing/2014/main" id="{9E265C41-90CC-4765-8A6D-1D91FB3BF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195" name="Picture 1">
          <a:extLst>
            <a:ext uri="{FF2B5EF4-FFF2-40B4-BE49-F238E27FC236}">
              <a16:creationId xmlns:a16="http://schemas.microsoft.com/office/drawing/2014/main" id="{CECCD9A6-9A22-490A-88A3-B78938DF0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196" name="Picture 1">
          <a:extLst>
            <a:ext uri="{FF2B5EF4-FFF2-40B4-BE49-F238E27FC236}">
              <a16:creationId xmlns:a16="http://schemas.microsoft.com/office/drawing/2014/main" id="{A8DF6B5C-416E-4B75-BEA3-2F11F48FC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197" name="Picture 1">
          <a:extLst>
            <a:ext uri="{FF2B5EF4-FFF2-40B4-BE49-F238E27FC236}">
              <a16:creationId xmlns:a16="http://schemas.microsoft.com/office/drawing/2014/main" id="{28EF279B-C6CB-448C-A766-E02185A8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198" name="Picture 1">
          <a:extLst>
            <a:ext uri="{FF2B5EF4-FFF2-40B4-BE49-F238E27FC236}">
              <a16:creationId xmlns:a16="http://schemas.microsoft.com/office/drawing/2014/main" id="{194B1385-360F-4F46-8A54-564BDECF9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199" name="Picture 1">
          <a:extLst>
            <a:ext uri="{FF2B5EF4-FFF2-40B4-BE49-F238E27FC236}">
              <a16:creationId xmlns:a16="http://schemas.microsoft.com/office/drawing/2014/main" id="{956309FC-6A38-40A2-9B8E-C042C528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200" name="Picture 1">
          <a:extLst>
            <a:ext uri="{FF2B5EF4-FFF2-40B4-BE49-F238E27FC236}">
              <a16:creationId xmlns:a16="http://schemas.microsoft.com/office/drawing/2014/main" id="{F8A3DA0D-A79D-4AF8-9E88-6F6F43562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201" name="Picture 1">
          <a:extLst>
            <a:ext uri="{FF2B5EF4-FFF2-40B4-BE49-F238E27FC236}">
              <a16:creationId xmlns:a16="http://schemas.microsoft.com/office/drawing/2014/main" id="{AD498245-8E14-4469-A442-63C4856E4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202" name="Picture 1">
          <a:extLst>
            <a:ext uri="{FF2B5EF4-FFF2-40B4-BE49-F238E27FC236}">
              <a16:creationId xmlns:a16="http://schemas.microsoft.com/office/drawing/2014/main" id="{2F50D228-5F24-4F6B-8AA8-A2C215CC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203" name="Picture 1">
          <a:extLst>
            <a:ext uri="{FF2B5EF4-FFF2-40B4-BE49-F238E27FC236}">
              <a16:creationId xmlns:a16="http://schemas.microsoft.com/office/drawing/2014/main" id="{3928C7E8-6242-43F7-96F8-8D96AACFF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204" name="Picture 1">
          <a:extLst>
            <a:ext uri="{FF2B5EF4-FFF2-40B4-BE49-F238E27FC236}">
              <a16:creationId xmlns:a16="http://schemas.microsoft.com/office/drawing/2014/main" id="{7A83E129-BE62-4F9B-8677-1193EA92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205" name="Picture 1">
          <a:extLst>
            <a:ext uri="{FF2B5EF4-FFF2-40B4-BE49-F238E27FC236}">
              <a16:creationId xmlns:a16="http://schemas.microsoft.com/office/drawing/2014/main" id="{BCB0DD3C-609C-4AEE-84C3-491D3A2C1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206" name="Picture 1">
          <a:extLst>
            <a:ext uri="{FF2B5EF4-FFF2-40B4-BE49-F238E27FC236}">
              <a16:creationId xmlns:a16="http://schemas.microsoft.com/office/drawing/2014/main" id="{5CAF008A-078D-4DF2-B528-07BC784F7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207" name="Picture 1">
          <a:extLst>
            <a:ext uri="{FF2B5EF4-FFF2-40B4-BE49-F238E27FC236}">
              <a16:creationId xmlns:a16="http://schemas.microsoft.com/office/drawing/2014/main" id="{0C0FF1B0-EFB5-4B5C-904A-FB373280D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208" name="Picture 1">
          <a:extLst>
            <a:ext uri="{FF2B5EF4-FFF2-40B4-BE49-F238E27FC236}">
              <a16:creationId xmlns:a16="http://schemas.microsoft.com/office/drawing/2014/main" id="{225F347A-1E67-49CD-9471-0D5583612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209" name="Picture 1">
          <a:extLst>
            <a:ext uri="{FF2B5EF4-FFF2-40B4-BE49-F238E27FC236}">
              <a16:creationId xmlns:a16="http://schemas.microsoft.com/office/drawing/2014/main" id="{D8505149-06C5-47D4-B7D2-0FD953B5B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210" name="Picture 1">
          <a:extLst>
            <a:ext uri="{FF2B5EF4-FFF2-40B4-BE49-F238E27FC236}">
              <a16:creationId xmlns:a16="http://schemas.microsoft.com/office/drawing/2014/main" id="{D73436BD-E650-44B1-BE71-53193C053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211" name="Picture 1">
          <a:extLst>
            <a:ext uri="{FF2B5EF4-FFF2-40B4-BE49-F238E27FC236}">
              <a16:creationId xmlns:a16="http://schemas.microsoft.com/office/drawing/2014/main" id="{B7C19408-E609-423B-9159-D789A4022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212" name="Picture 1">
          <a:extLst>
            <a:ext uri="{FF2B5EF4-FFF2-40B4-BE49-F238E27FC236}">
              <a16:creationId xmlns:a16="http://schemas.microsoft.com/office/drawing/2014/main" id="{89A1EC85-8AEF-40E2-85C5-95753B3D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213" name="Picture 1">
          <a:extLst>
            <a:ext uri="{FF2B5EF4-FFF2-40B4-BE49-F238E27FC236}">
              <a16:creationId xmlns:a16="http://schemas.microsoft.com/office/drawing/2014/main" id="{0D9ADFEF-2253-411F-9DCC-9D0552E7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214" name="Picture 1">
          <a:extLst>
            <a:ext uri="{FF2B5EF4-FFF2-40B4-BE49-F238E27FC236}">
              <a16:creationId xmlns:a16="http://schemas.microsoft.com/office/drawing/2014/main" id="{E28F6ADE-564E-49EB-80E7-945682ED7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215" name="Picture 1">
          <a:extLst>
            <a:ext uri="{FF2B5EF4-FFF2-40B4-BE49-F238E27FC236}">
              <a16:creationId xmlns:a16="http://schemas.microsoft.com/office/drawing/2014/main" id="{94695010-B7D7-4C03-A51D-02891E83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216" name="Picture 1">
          <a:extLst>
            <a:ext uri="{FF2B5EF4-FFF2-40B4-BE49-F238E27FC236}">
              <a16:creationId xmlns:a16="http://schemas.microsoft.com/office/drawing/2014/main" id="{D1202D9F-E9F5-43BD-876E-79B63DF1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217" name="Picture 1">
          <a:extLst>
            <a:ext uri="{FF2B5EF4-FFF2-40B4-BE49-F238E27FC236}">
              <a16:creationId xmlns:a16="http://schemas.microsoft.com/office/drawing/2014/main" id="{B7374DEE-F86A-4779-BAC4-14F378405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218" name="Picture 1">
          <a:extLst>
            <a:ext uri="{FF2B5EF4-FFF2-40B4-BE49-F238E27FC236}">
              <a16:creationId xmlns:a16="http://schemas.microsoft.com/office/drawing/2014/main" id="{240AEA72-47F8-4941-9C23-B232B0F5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19" name="Picture 1">
          <a:extLst>
            <a:ext uri="{FF2B5EF4-FFF2-40B4-BE49-F238E27FC236}">
              <a16:creationId xmlns:a16="http://schemas.microsoft.com/office/drawing/2014/main" id="{F529AF05-2506-406C-A8D1-486D155D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20" name="Picture 1">
          <a:extLst>
            <a:ext uri="{FF2B5EF4-FFF2-40B4-BE49-F238E27FC236}">
              <a16:creationId xmlns:a16="http://schemas.microsoft.com/office/drawing/2014/main" id="{4380E3BA-C0F3-4E96-ACBE-50495668B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21" name="Picture 1">
          <a:extLst>
            <a:ext uri="{FF2B5EF4-FFF2-40B4-BE49-F238E27FC236}">
              <a16:creationId xmlns:a16="http://schemas.microsoft.com/office/drawing/2014/main" id="{0CE410F5-58C3-44E8-BA7C-09AF0226F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222" name="Picture 1">
          <a:extLst>
            <a:ext uri="{FF2B5EF4-FFF2-40B4-BE49-F238E27FC236}">
              <a16:creationId xmlns:a16="http://schemas.microsoft.com/office/drawing/2014/main" id="{B54A48F9-6CF1-4DFD-AB93-9D26A2E22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223" name="Picture 1">
          <a:extLst>
            <a:ext uri="{FF2B5EF4-FFF2-40B4-BE49-F238E27FC236}">
              <a16:creationId xmlns:a16="http://schemas.microsoft.com/office/drawing/2014/main" id="{50658300-B0FE-4560-87D6-45D06274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224" name="Picture 1">
          <a:extLst>
            <a:ext uri="{FF2B5EF4-FFF2-40B4-BE49-F238E27FC236}">
              <a16:creationId xmlns:a16="http://schemas.microsoft.com/office/drawing/2014/main" id="{7D99F581-396E-4F1A-AAAE-B7D6DB552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225" name="Picture 1">
          <a:extLst>
            <a:ext uri="{FF2B5EF4-FFF2-40B4-BE49-F238E27FC236}">
              <a16:creationId xmlns:a16="http://schemas.microsoft.com/office/drawing/2014/main" id="{E2F4200A-62AA-44C3-9A3D-B0EDC672F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226" name="Picture 1">
          <a:extLst>
            <a:ext uri="{FF2B5EF4-FFF2-40B4-BE49-F238E27FC236}">
              <a16:creationId xmlns:a16="http://schemas.microsoft.com/office/drawing/2014/main" id="{230EE88C-237B-4615-8E60-13510756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27" name="Picture 1">
          <a:extLst>
            <a:ext uri="{FF2B5EF4-FFF2-40B4-BE49-F238E27FC236}">
              <a16:creationId xmlns:a16="http://schemas.microsoft.com/office/drawing/2014/main" id="{B81A0068-3D66-4E62-ADA6-E69E5958C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28" name="Picture 1">
          <a:extLst>
            <a:ext uri="{FF2B5EF4-FFF2-40B4-BE49-F238E27FC236}">
              <a16:creationId xmlns:a16="http://schemas.microsoft.com/office/drawing/2014/main" id="{BDC00115-306E-45CF-BE29-26682B52E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29" name="Picture 1">
          <a:extLst>
            <a:ext uri="{FF2B5EF4-FFF2-40B4-BE49-F238E27FC236}">
              <a16:creationId xmlns:a16="http://schemas.microsoft.com/office/drawing/2014/main" id="{36C44B19-60B2-40D4-8BF1-308B5F382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30" name="Picture 1">
          <a:extLst>
            <a:ext uri="{FF2B5EF4-FFF2-40B4-BE49-F238E27FC236}">
              <a16:creationId xmlns:a16="http://schemas.microsoft.com/office/drawing/2014/main" id="{7D5B96EF-A74F-478F-80C1-470E8685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231" name="Picture 1">
          <a:extLst>
            <a:ext uri="{FF2B5EF4-FFF2-40B4-BE49-F238E27FC236}">
              <a16:creationId xmlns:a16="http://schemas.microsoft.com/office/drawing/2014/main" id="{71157A0F-2CA3-444F-B823-DB492C80A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232" name="Picture 1">
          <a:extLst>
            <a:ext uri="{FF2B5EF4-FFF2-40B4-BE49-F238E27FC236}">
              <a16:creationId xmlns:a16="http://schemas.microsoft.com/office/drawing/2014/main" id="{351E92E5-B2DF-488E-92C3-7C0B447E6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233" name="Picture 1">
          <a:extLst>
            <a:ext uri="{FF2B5EF4-FFF2-40B4-BE49-F238E27FC236}">
              <a16:creationId xmlns:a16="http://schemas.microsoft.com/office/drawing/2014/main" id="{D3C0CD55-9DCF-465E-95EA-BBBE925B8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234" name="Picture 1">
          <a:extLst>
            <a:ext uri="{FF2B5EF4-FFF2-40B4-BE49-F238E27FC236}">
              <a16:creationId xmlns:a16="http://schemas.microsoft.com/office/drawing/2014/main" id="{041D52E8-2766-49E0-BA96-B0FE28DA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235" name="Picture 1">
          <a:extLst>
            <a:ext uri="{FF2B5EF4-FFF2-40B4-BE49-F238E27FC236}">
              <a16:creationId xmlns:a16="http://schemas.microsoft.com/office/drawing/2014/main" id="{34A99772-2BC7-4521-A71B-4EA377F39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236" name="Picture 1">
          <a:extLst>
            <a:ext uri="{FF2B5EF4-FFF2-40B4-BE49-F238E27FC236}">
              <a16:creationId xmlns:a16="http://schemas.microsoft.com/office/drawing/2014/main" id="{CDFA8EBF-9B0E-41E0-AA37-3F2402F2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237" name="Picture 1">
          <a:extLst>
            <a:ext uri="{FF2B5EF4-FFF2-40B4-BE49-F238E27FC236}">
              <a16:creationId xmlns:a16="http://schemas.microsoft.com/office/drawing/2014/main" id="{7BB73946-3716-494A-9200-E83AC19DB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38" name="Picture 1">
          <a:extLst>
            <a:ext uri="{FF2B5EF4-FFF2-40B4-BE49-F238E27FC236}">
              <a16:creationId xmlns:a16="http://schemas.microsoft.com/office/drawing/2014/main" id="{1F0B3BF4-97E3-43FF-ACC7-6C9200C41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39" name="Picture 1">
          <a:extLst>
            <a:ext uri="{FF2B5EF4-FFF2-40B4-BE49-F238E27FC236}">
              <a16:creationId xmlns:a16="http://schemas.microsoft.com/office/drawing/2014/main" id="{F5358440-D224-4F0A-AC5A-A34A3286E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40" name="Picture 1">
          <a:extLst>
            <a:ext uri="{FF2B5EF4-FFF2-40B4-BE49-F238E27FC236}">
              <a16:creationId xmlns:a16="http://schemas.microsoft.com/office/drawing/2014/main" id="{AA5DF936-307B-4767-9AC5-5161BB246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41" name="Picture 1">
          <a:extLst>
            <a:ext uri="{FF2B5EF4-FFF2-40B4-BE49-F238E27FC236}">
              <a16:creationId xmlns:a16="http://schemas.microsoft.com/office/drawing/2014/main" id="{59D8F5E0-6A05-423F-A4CC-17257AB43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42" name="Picture 1">
          <a:extLst>
            <a:ext uri="{FF2B5EF4-FFF2-40B4-BE49-F238E27FC236}">
              <a16:creationId xmlns:a16="http://schemas.microsoft.com/office/drawing/2014/main" id="{9D927FEA-8C93-4248-9E30-81D5312ED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243" name="Picture 1">
          <a:extLst>
            <a:ext uri="{FF2B5EF4-FFF2-40B4-BE49-F238E27FC236}">
              <a16:creationId xmlns:a16="http://schemas.microsoft.com/office/drawing/2014/main" id="{911556C0-FB7B-4DDA-AA7C-B95E323BD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244" name="Picture 1">
          <a:extLst>
            <a:ext uri="{FF2B5EF4-FFF2-40B4-BE49-F238E27FC236}">
              <a16:creationId xmlns:a16="http://schemas.microsoft.com/office/drawing/2014/main" id="{07B83491-D551-4418-9BE4-D389C3769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245" name="Picture 1">
          <a:extLst>
            <a:ext uri="{FF2B5EF4-FFF2-40B4-BE49-F238E27FC236}">
              <a16:creationId xmlns:a16="http://schemas.microsoft.com/office/drawing/2014/main" id="{7D5EE6EB-94FB-4E57-A797-87D201526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46" name="Picture 1">
          <a:extLst>
            <a:ext uri="{FF2B5EF4-FFF2-40B4-BE49-F238E27FC236}">
              <a16:creationId xmlns:a16="http://schemas.microsoft.com/office/drawing/2014/main" id="{AF61875A-4A47-42F7-BB1D-1C5CEA657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47" name="Picture 1">
          <a:extLst>
            <a:ext uri="{FF2B5EF4-FFF2-40B4-BE49-F238E27FC236}">
              <a16:creationId xmlns:a16="http://schemas.microsoft.com/office/drawing/2014/main" id="{C74883DF-1752-4D65-B4FB-FF1FF982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48" name="Picture 1">
          <a:extLst>
            <a:ext uri="{FF2B5EF4-FFF2-40B4-BE49-F238E27FC236}">
              <a16:creationId xmlns:a16="http://schemas.microsoft.com/office/drawing/2014/main" id="{2D1923E2-434F-48C5-BC40-C861D7181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49" name="Picture 1">
          <a:extLst>
            <a:ext uri="{FF2B5EF4-FFF2-40B4-BE49-F238E27FC236}">
              <a16:creationId xmlns:a16="http://schemas.microsoft.com/office/drawing/2014/main" id="{AFDE57AF-106A-4438-B1E0-51110D1FB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50" name="Picture 1">
          <a:extLst>
            <a:ext uri="{FF2B5EF4-FFF2-40B4-BE49-F238E27FC236}">
              <a16:creationId xmlns:a16="http://schemas.microsoft.com/office/drawing/2014/main" id="{ECA37995-807E-41F6-B476-9FD153D6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251" name="Picture 1">
          <a:extLst>
            <a:ext uri="{FF2B5EF4-FFF2-40B4-BE49-F238E27FC236}">
              <a16:creationId xmlns:a16="http://schemas.microsoft.com/office/drawing/2014/main" id="{04DE9A7C-E352-453B-B0F4-F5DE21622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252" name="Picture 1">
          <a:extLst>
            <a:ext uri="{FF2B5EF4-FFF2-40B4-BE49-F238E27FC236}">
              <a16:creationId xmlns:a16="http://schemas.microsoft.com/office/drawing/2014/main" id="{321A8856-1701-442A-9477-6C62BC01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253" name="Picture 1">
          <a:extLst>
            <a:ext uri="{FF2B5EF4-FFF2-40B4-BE49-F238E27FC236}">
              <a16:creationId xmlns:a16="http://schemas.microsoft.com/office/drawing/2014/main" id="{AC2CE0DE-EBF3-4246-BCCF-22A940384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254" name="Picture 1">
          <a:extLst>
            <a:ext uri="{FF2B5EF4-FFF2-40B4-BE49-F238E27FC236}">
              <a16:creationId xmlns:a16="http://schemas.microsoft.com/office/drawing/2014/main" id="{0BC7283A-127B-4E6F-A761-D5C975058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255" name="Picture 1">
          <a:extLst>
            <a:ext uri="{FF2B5EF4-FFF2-40B4-BE49-F238E27FC236}">
              <a16:creationId xmlns:a16="http://schemas.microsoft.com/office/drawing/2014/main" id="{C7F841C6-1293-477B-AC30-6EDDE3D6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256" name="Picture 1">
          <a:extLst>
            <a:ext uri="{FF2B5EF4-FFF2-40B4-BE49-F238E27FC236}">
              <a16:creationId xmlns:a16="http://schemas.microsoft.com/office/drawing/2014/main" id="{CDDE083B-398F-428E-A973-2C597982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257" name="Picture 1">
          <a:extLst>
            <a:ext uri="{FF2B5EF4-FFF2-40B4-BE49-F238E27FC236}">
              <a16:creationId xmlns:a16="http://schemas.microsoft.com/office/drawing/2014/main" id="{F56FAFE1-7509-4B12-99FB-9D3802AD9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258" name="Picture 1">
          <a:extLst>
            <a:ext uri="{FF2B5EF4-FFF2-40B4-BE49-F238E27FC236}">
              <a16:creationId xmlns:a16="http://schemas.microsoft.com/office/drawing/2014/main" id="{43B3D691-F1AB-44ED-ABA4-91BB9743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259" name="Picture 1">
          <a:extLst>
            <a:ext uri="{FF2B5EF4-FFF2-40B4-BE49-F238E27FC236}">
              <a16:creationId xmlns:a16="http://schemas.microsoft.com/office/drawing/2014/main" id="{58D7E27C-96DF-4B62-9986-DBEB6B2E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260" name="Picture 1">
          <a:extLst>
            <a:ext uri="{FF2B5EF4-FFF2-40B4-BE49-F238E27FC236}">
              <a16:creationId xmlns:a16="http://schemas.microsoft.com/office/drawing/2014/main" id="{EF786C2F-4DB7-4656-B45F-90581958C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1" name="Picture 1">
          <a:extLst>
            <a:ext uri="{FF2B5EF4-FFF2-40B4-BE49-F238E27FC236}">
              <a16:creationId xmlns:a16="http://schemas.microsoft.com/office/drawing/2014/main" id="{C36462AD-EAB0-4727-9C51-0233CBB35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2" name="Picture 1">
          <a:extLst>
            <a:ext uri="{FF2B5EF4-FFF2-40B4-BE49-F238E27FC236}">
              <a16:creationId xmlns:a16="http://schemas.microsoft.com/office/drawing/2014/main" id="{D9AFE563-4505-4A6B-8ED5-D9A4951C7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3" name="Picture 1">
          <a:extLst>
            <a:ext uri="{FF2B5EF4-FFF2-40B4-BE49-F238E27FC236}">
              <a16:creationId xmlns:a16="http://schemas.microsoft.com/office/drawing/2014/main" id="{926CDF29-9C02-4D04-9F77-403E9451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4" name="Picture 1">
          <a:extLst>
            <a:ext uri="{FF2B5EF4-FFF2-40B4-BE49-F238E27FC236}">
              <a16:creationId xmlns:a16="http://schemas.microsoft.com/office/drawing/2014/main" id="{A3057339-BE80-468F-AA75-E68FBE45A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5" name="Picture 1">
          <a:extLst>
            <a:ext uri="{FF2B5EF4-FFF2-40B4-BE49-F238E27FC236}">
              <a16:creationId xmlns:a16="http://schemas.microsoft.com/office/drawing/2014/main" id="{CA1DEAAE-7EA3-4676-8DF4-AE736C8AC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266" name="Picture 1">
          <a:extLst>
            <a:ext uri="{FF2B5EF4-FFF2-40B4-BE49-F238E27FC236}">
              <a16:creationId xmlns:a16="http://schemas.microsoft.com/office/drawing/2014/main" id="{41671D2E-86F0-42B9-B0BF-09317435A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67" name="Picture 1">
          <a:extLst>
            <a:ext uri="{FF2B5EF4-FFF2-40B4-BE49-F238E27FC236}">
              <a16:creationId xmlns:a16="http://schemas.microsoft.com/office/drawing/2014/main" id="{2255EF72-FF10-400C-B6E7-492AE7EF1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68" name="Picture 1">
          <a:extLst>
            <a:ext uri="{FF2B5EF4-FFF2-40B4-BE49-F238E27FC236}">
              <a16:creationId xmlns:a16="http://schemas.microsoft.com/office/drawing/2014/main" id="{AFF3ACFF-B69A-4B5B-9A58-861FFE9A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69" name="Picture 1">
          <a:extLst>
            <a:ext uri="{FF2B5EF4-FFF2-40B4-BE49-F238E27FC236}">
              <a16:creationId xmlns:a16="http://schemas.microsoft.com/office/drawing/2014/main" id="{61005E8C-7494-41DD-9025-D538E69F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70" name="Picture 1">
          <a:extLst>
            <a:ext uri="{FF2B5EF4-FFF2-40B4-BE49-F238E27FC236}">
              <a16:creationId xmlns:a16="http://schemas.microsoft.com/office/drawing/2014/main" id="{AD440050-3C12-477E-B587-686CF06D9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71" name="Picture 1">
          <a:extLst>
            <a:ext uri="{FF2B5EF4-FFF2-40B4-BE49-F238E27FC236}">
              <a16:creationId xmlns:a16="http://schemas.microsoft.com/office/drawing/2014/main" id="{934EDD90-55FA-45FF-A991-755F719BF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272" name="Picture 1">
          <a:extLst>
            <a:ext uri="{FF2B5EF4-FFF2-40B4-BE49-F238E27FC236}">
              <a16:creationId xmlns:a16="http://schemas.microsoft.com/office/drawing/2014/main" id="{190193CF-7424-4F19-BA7E-6C100393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3" name="Picture 1">
          <a:extLst>
            <a:ext uri="{FF2B5EF4-FFF2-40B4-BE49-F238E27FC236}">
              <a16:creationId xmlns:a16="http://schemas.microsoft.com/office/drawing/2014/main" id="{CA8DFC89-94D7-40B1-829C-AB312C669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4" name="Picture 1">
          <a:extLst>
            <a:ext uri="{FF2B5EF4-FFF2-40B4-BE49-F238E27FC236}">
              <a16:creationId xmlns:a16="http://schemas.microsoft.com/office/drawing/2014/main" id="{B15D08CB-D992-4C12-8F82-123A6B0CA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5" name="Picture 1">
          <a:extLst>
            <a:ext uri="{FF2B5EF4-FFF2-40B4-BE49-F238E27FC236}">
              <a16:creationId xmlns:a16="http://schemas.microsoft.com/office/drawing/2014/main" id="{21D54674-093D-44BE-B677-FD33225CF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6" name="Picture 1">
          <a:extLst>
            <a:ext uri="{FF2B5EF4-FFF2-40B4-BE49-F238E27FC236}">
              <a16:creationId xmlns:a16="http://schemas.microsoft.com/office/drawing/2014/main" id="{C25D1447-E059-4266-A3F4-D4874B6D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7" name="Picture 1">
          <a:extLst>
            <a:ext uri="{FF2B5EF4-FFF2-40B4-BE49-F238E27FC236}">
              <a16:creationId xmlns:a16="http://schemas.microsoft.com/office/drawing/2014/main" id="{32649189-3837-4ADF-AA7A-64F01869A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8" name="Picture 1">
          <a:extLst>
            <a:ext uri="{FF2B5EF4-FFF2-40B4-BE49-F238E27FC236}">
              <a16:creationId xmlns:a16="http://schemas.microsoft.com/office/drawing/2014/main" id="{9080EDAD-4189-48F2-AEC2-1BEF4379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79" name="Picture 1">
          <a:extLst>
            <a:ext uri="{FF2B5EF4-FFF2-40B4-BE49-F238E27FC236}">
              <a16:creationId xmlns:a16="http://schemas.microsoft.com/office/drawing/2014/main" id="{147E2E42-880D-4315-834D-CD33479B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80" name="Picture 1">
          <a:extLst>
            <a:ext uri="{FF2B5EF4-FFF2-40B4-BE49-F238E27FC236}">
              <a16:creationId xmlns:a16="http://schemas.microsoft.com/office/drawing/2014/main" id="{E2A361A8-8691-4D1D-9446-E9A4FD50E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81" name="Picture 1">
          <a:extLst>
            <a:ext uri="{FF2B5EF4-FFF2-40B4-BE49-F238E27FC236}">
              <a16:creationId xmlns:a16="http://schemas.microsoft.com/office/drawing/2014/main" id="{E4AC5BA1-DC93-4983-B3B1-DA561CD19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82" name="Picture 1">
          <a:extLst>
            <a:ext uri="{FF2B5EF4-FFF2-40B4-BE49-F238E27FC236}">
              <a16:creationId xmlns:a16="http://schemas.microsoft.com/office/drawing/2014/main" id="{9D9508CA-78FC-49C1-B316-2FF3F590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283" name="Picture 1">
          <a:extLst>
            <a:ext uri="{FF2B5EF4-FFF2-40B4-BE49-F238E27FC236}">
              <a16:creationId xmlns:a16="http://schemas.microsoft.com/office/drawing/2014/main" id="{6B81D0C1-034B-4330-B64A-CF701F63B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4" name="Picture 1">
          <a:extLst>
            <a:ext uri="{FF2B5EF4-FFF2-40B4-BE49-F238E27FC236}">
              <a16:creationId xmlns:a16="http://schemas.microsoft.com/office/drawing/2014/main" id="{7D9A7726-942C-4652-9600-E0AA1A0D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5" name="Picture 1">
          <a:extLst>
            <a:ext uri="{FF2B5EF4-FFF2-40B4-BE49-F238E27FC236}">
              <a16:creationId xmlns:a16="http://schemas.microsoft.com/office/drawing/2014/main" id="{1CAA0FA1-7681-4FBC-8C0B-8DF82B0A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6" name="Picture 1">
          <a:extLst>
            <a:ext uri="{FF2B5EF4-FFF2-40B4-BE49-F238E27FC236}">
              <a16:creationId xmlns:a16="http://schemas.microsoft.com/office/drawing/2014/main" id="{34F6F845-5C7E-43A1-929F-0E09B56D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7" name="Picture 1">
          <a:extLst>
            <a:ext uri="{FF2B5EF4-FFF2-40B4-BE49-F238E27FC236}">
              <a16:creationId xmlns:a16="http://schemas.microsoft.com/office/drawing/2014/main" id="{2B7DF7B3-7832-4FBE-805A-043505836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8" name="Picture 1">
          <a:extLst>
            <a:ext uri="{FF2B5EF4-FFF2-40B4-BE49-F238E27FC236}">
              <a16:creationId xmlns:a16="http://schemas.microsoft.com/office/drawing/2014/main" id="{B0225D93-301C-4CC7-8DCD-AFD3E5BE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89" name="Picture 1">
          <a:extLst>
            <a:ext uri="{FF2B5EF4-FFF2-40B4-BE49-F238E27FC236}">
              <a16:creationId xmlns:a16="http://schemas.microsoft.com/office/drawing/2014/main" id="{18538BCB-AD77-4978-8CDC-1742667EB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90" name="Picture 1">
          <a:extLst>
            <a:ext uri="{FF2B5EF4-FFF2-40B4-BE49-F238E27FC236}">
              <a16:creationId xmlns:a16="http://schemas.microsoft.com/office/drawing/2014/main" id="{49381ED7-CF9C-4E56-9545-19BBB3B64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91" name="Picture 1">
          <a:extLst>
            <a:ext uri="{FF2B5EF4-FFF2-40B4-BE49-F238E27FC236}">
              <a16:creationId xmlns:a16="http://schemas.microsoft.com/office/drawing/2014/main" id="{DD984829-7F36-4C2A-81D9-6F819231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92" name="Picture 1">
          <a:extLst>
            <a:ext uri="{FF2B5EF4-FFF2-40B4-BE49-F238E27FC236}">
              <a16:creationId xmlns:a16="http://schemas.microsoft.com/office/drawing/2014/main" id="{AF424D77-5B3E-4AA3-841B-8603D690C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93" name="Picture 1">
          <a:extLst>
            <a:ext uri="{FF2B5EF4-FFF2-40B4-BE49-F238E27FC236}">
              <a16:creationId xmlns:a16="http://schemas.microsoft.com/office/drawing/2014/main" id="{C64119C0-CA7B-4233-80F8-426D721FE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294" name="Picture 1">
          <a:extLst>
            <a:ext uri="{FF2B5EF4-FFF2-40B4-BE49-F238E27FC236}">
              <a16:creationId xmlns:a16="http://schemas.microsoft.com/office/drawing/2014/main" id="{79264054-DEC7-4D9B-90CC-4292893DC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295" name="Picture 1">
          <a:extLst>
            <a:ext uri="{FF2B5EF4-FFF2-40B4-BE49-F238E27FC236}">
              <a16:creationId xmlns:a16="http://schemas.microsoft.com/office/drawing/2014/main" id="{47E0E035-5B94-48B3-97C0-9C1FC0EA8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296" name="Picture 1">
          <a:extLst>
            <a:ext uri="{FF2B5EF4-FFF2-40B4-BE49-F238E27FC236}">
              <a16:creationId xmlns:a16="http://schemas.microsoft.com/office/drawing/2014/main" id="{96D9CF4D-825A-4EAC-B03D-F6E5D49D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297" name="Picture 1">
          <a:extLst>
            <a:ext uri="{FF2B5EF4-FFF2-40B4-BE49-F238E27FC236}">
              <a16:creationId xmlns:a16="http://schemas.microsoft.com/office/drawing/2014/main" id="{230CD23F-EAF1-4D3B-B02C-A9BCC633B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298" name="Picture 1">
          <a:extLst>
            <a:ext uri="{FF2B5EF4-FFF2-40B4-BE49-F238E27FC236}">
              <a16:creationId xmlns:a16="http://schemas.microsoft.com/office/drawing/2014/main" id="{3C422BEF-3D15-47B9-B3E7-8803BA39B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299" name="Picture 1">
          <a:extLst>
            <a:ext uri="{FF2B5EF4-FFF2-40B4-BE49-F238E27FC236}">
              <a16:creationId xmlns:a16="http://schemas.microsoft.com/office/drawing/2014/main" id="{D8E260A6-11C8-437E-A062-55E478EC2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0" name="Picture 1">
          <a:extLst>
            <a:ext uri="{FF2B5EF4-FFF2-40B4-BE49-F238E27FC236}">
              <a16:creationId xmlns:a16="http://schemas.microsoft.com/office/drawing/2014/main" id="{C3783B36-CC05-44B1-8447-2F5019610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1" name="Picture 1">
          <a:extLst>
            <a:ext uri="{FF2B5EF4-FFF2-40B4-BE49-F238E27FC236}">
              <a16:creationId xmlns:a16="http://schemas.microsoft.com/office/drawing/2014/main" id="{1E6F478D-8830-405C-A469-603BCFE11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2" name="Picture 1">
          <a:extLst>
            <a:ext uri="{FF2B5EF4-FFF2-40B4-BE49-F238E27FC236}">
              <a16:creationId xmlns:a16="http://schemas.microsoft.com/office/drawing/2014/main" id="{9C8275A2-F131-484A-9585-4EF254BD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3" name="Picture 1">
          <a:extLst>
            <a:ext uri="{FF2B5EF4-FFF2-40B4-BE49-F238E27FC236}">
              <a16:creationId xmlns:a16="http://schemas.microsoft.com/office/drawing/2014/main" id="{38922733-311D-4981-9F00-9658FE60D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4" name="Picture 1">
          <a:extLst>
            <a:ext uri="{FF2B5EF4-FFF2-40B4-BE49-F238E27FC236}">
              <a16:creationId xmlns:a16="http://schemas.microsoft.com/office/drawing/2014/main" id="{FDC76B3F-E39A-46E6-BAF8-BBC894F05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305" name="Picture 1">
          <a:extLst>
            <a:ext uri="{FF2B5EF4-FFF2-40B4-BE49-F238E27FC236}">
              <a16:creationId xmlns:a16="http://schemas.microsoft.com/office/drawing/2014/main" id="{4A4ADA96-405C-4C67-9127-28BB4E88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06" name="Picture 1">
          <a:extLst>
            <a:ext uri="{FF2B5EF4-FFF2-40B4-BE49-F238E27FC236}">
              <a16:creationId xmlns:a16="http://schemas.microsoft.com/office/drawing/2014/main" id="{2AAA40D4-099B-4F72-847B-6A1778A20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07" name="Picture 1">
          <a:extLst>
            <a:ext uri="{FF2B5EF4-FFF2-40B4-BE49-F238E27FC236}">
              <a16:creationId xmlns:a16="http://schemas.microsoft.com/office/drawing/2014/main" id="{D4009F5C-4660-4F1F-BC57-643AA869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08" name="Picture 1">
          <a:extLst>
            <a:ext uri="{FF2B5EF4-FFF2-40B4-BE49-F238E27FC236}">
              <a16:creationId xmlns:a16="http://schemas.microsoft.com/office/drawing/2014/main" id="{642B2003-BFEF-478C-A00C-40304C499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09" name="Picture 1">
          <a:extLst>
            <a:ext uri="{FF2B5EF4-FFF2-40B4-BE49-F238E27FC236}">
              <a16:creationId xmlns:a16="http://schemas.microsoft.com/office/drawing/2014/main" id="{7BD29071-7BAD-4F89-8099-F3A126D9E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0" name="Picture 1">
          <a:extLst>
            <a:ext uri="{FF2B5EF4-FFF2-40B4-BE49-F238E27FC236}">
              <a16:creationId xmlns:a16="http://schemas.microsoft.com/office/drawing/2014/main" id="{2A76529D-5F9B-481E-85A6-54684A57E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1" name="Picture 1">
          <a:extLst>
            <a:ext uri="{FF2B5EF4-FFF2-40B4-BE49-F238E27FC236}">
              <a16:creationId xmlns:a16="http://schemas.microsoft.com/office/drawing/2014/main" id="{E816E389-7EFC-488D-841B-8D0990667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2" name="Picture 1">
          <a:extLst>
            <a:ext uri="{FF2B5EF4-FFF2-40B4-BE49-F238E27FC236}">
              <a16:creationId xmlns:a16="http://schemas.microsoft.com/office/drawing/2014/main" id="{E8E5C767-8409-49FE-A82B-36C6AB444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3" name="Picture 1">
          <a:extLst>
            <a:ext uri="{FF2B5EF4-FFF2-40B4-BE49-F238E27FC236}">
              <a16:creationId xmlns:a16="http://schemas.microsoft.com/office/drawing/2014/main" id="{E07A8EAD-E8C5-4213-A39E-50D197710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4" name="Picture 1">
          <a:extLst>
            <a:ext uri="{FF2B5EF4-FFF2-40B4-BE49-F238E27FC236}">
              <a16:creationId xmlns:a16="http://schemas.microsoft.com/office/drawing/2014/main" id="{AF0F2422-06E9-4A54-8530-4F7424F0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315" name="Picture 1">
          <a:extLst>
            <a:ext uri="{FF2B5EF4-FFF2-40B4-BE49-F238E27FC236}">
              <a16:creationId xmlns:a16="http://schemas.microsoft.com/office/drawing/2014/main" id="{BCD11092-1685-4D22-A162-2FB052DC6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16" name="Picture 1">
          <a:extLst>
            <a:ext uri="{FF2B5EF4-FFF2-40B4-BE49-F238E27FC236}">
              <a16:creationId xmlns:a16="http://schemas.microsoft.com/office/drawing/2014/main" id="{4274856C-1DB8-48D4-8CB8-BDB6F1DB9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17" name="Picture 1">
          <a:extLst>
            <a:ext uri="{FF2B5EF4-FFF2-40B4-BE49-F238E27FC236}">
              <a16:creationId xmlns:a16="http://schemas.microsoft.com/office/drawing/2014/main" id="{5099E4EA-B7E7-4D1F-B3CB-6B917CA7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18" name="Picture 1">
          <a:extLst>
            <a:ext uri="{FF2B5EF4-FFF2-40B4-BE49-F238E27FC236}">
              <a16:creationId xmlns:a16="http://schemas.microsoft.com/office/drawing/2014/main" id="{DF5A7EA0-A812-4D00-A473-54A38E23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19" name="Picture 1">
          <a:extLst>
            <a:ext uri="{FF2B5EF4-FFF2-40B4-BE49-F238E27FC236}">
              <a16:creationId xmlns:a16="http://schemas.microsoft.com/office/drawing/2014/main" id="{3DAD42AD-E240-4DBB-9F34-FFAAB9F37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0" name="Picture 1">
          <a:extLst>
            <a:ext uri="{FF2B5EF4-FFF2-40B4-BE49-F238E27FC236}">
              <a16:creationId xmlns:a16="http://schemas.microsoft.com/office/drawing/2014/main" id="{1CB28B5E-FA36-453B-841E-268B98B0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1" name="Picture 1">
          <a:extLst>
            <a:ext uri="{FF2B5EF4-FFF2-40B4-BE49-F238E27FC236}">
              <a16:creationId xmlns:a16="http://schemas.microsoft.com/office/drawing/2014/main" id="{3754DC74-DB9E-4F3D-9A73-590F12019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2" name="Picture 1">
          <a:extLst>
            <a:ext uri="{FF2B5EF4-FFF2-40B4-BE49-F238E27FC236}">
              <a16:creationId xmlns:a16="http://schemas.microsoft.com/office/drawing/2014/main" id="{34C3976E-7C2E-4F15-BAC7-095CCB74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3" name="Picture 1">
          <a:extLst>
            <a:ext uri="{FF2B5EF4-FFF2-40B4-BE49-F238E27FC236}">
              <a16:creationId xmlns:a16="http://schemas.microsoft.com/office/drawing/2014/main" id="{DE3C4B16-6D60-477D-98BC-053F046E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4" name="Picture 1">
          <a:extLst>
            <a:ext uri="{FF2B5EF4-FFF2-40B4-BE49-F238E27FC236}">
              <a16:creationId xmlns:a16="http://schemas.microsoft.com/office/drawing/2014/main" id="{F3318257-6A0A-4025-8B82-BAB3AB600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325" name="Picture 1">
          <a:extLst>
            <a:ext uri="{FF2B5EF4-FFF2-40B4-BE49-F238E27FC236}">
              <a16:creationId xmlns:a16="http://schemas.microsoft.com/office/drawing/2014/main" id="{1CFC5A7B-5A7B-479D-9A65-53F8C784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26" name="Picture 1">
          <a:extLst>
            <a:ext uri="{FF2B5EF4-FFF2-40B4-BE49-F238E27FC236}">
              <a16:creationId xmlns:a16="http://schemas.microsoft.com/office/drawing/2014/main" id="{1CD2143D-F5EE-4030-BA67-CDCBB853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27" name="Picture 1">
          <a:extLst>
            <a:ext uri="{FF2B5EF4-FFF2-40B4-BE49-F238E27FC236}">
              <a16:creationId xmlns:a16="http://schemas.microsoft.com/office/drawing/2014/main" id="{FEDDEDA1-B9E1-4C7A-88AB-97C81BCC3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28" name="Picture 1">
          <a:extLst>
            <a:ext uri="{FF2B5EF4-FFF2-40B4-BE49-F238E27FC236}">
              <a16:creationId xmlns:a16="http://schemas.microsoft.com/office/drawing/2014/main" id="{993E4E62-6A34-4E6E-998D-3A75C325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29" name="Picture 1">
          <a:extLst>
            <a:ext uri="{FF2B5EF4-FFF2-40B4-BE49-F238E27FC236}">
              <a16:creationId xmlns:a16="http://schemas.microsoft.com/office/drawing/2014/main" id="{000C524C-FF6C-45AF-B3E7-CC6DB415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0" name="Picture 1">
          <a:extLst>
            <a:ext uri="{FF2B5EF4-FFF2-40B4-BE49-F238E27FC236}">
              <a16:creationId xmlns:a16="http://schemas.microsoft.com/office/drawing/2014/main" id="{4AADF321-2FA6-4CB9-89B2-FB38B6B5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1" name="Picture 1">
          <a:extLst>
            <a:ext uri="{FF2B5EF4-FFF2-40B4-BE49-F238E27FC236}">
              <a16:creationId xmlns:a16="http://schemas.microsoft.com/office/drawing/2014/main" id="{40493D74-92B0-4A97-9301-5E417DC2C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2" name="Picture 1">
          <a:extLst>
            <a:ext uri="{FF2B5EF4-FFF2-40B4-BE49-F238E27FC236}">
              <a16:creationId xmlns:a16="http://schemas.microsoft.com/office/drawing/2014/main" id="{26BC42E5-ABE5-4FC5-BA7E-51870441E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3" name="Picture 1">
          <a:extLst>
            <a:ext uri="{FF2B5EF4-FFF2-40B4-BE49-F238E27FC236}">
              <a16:creationId xmlns:a16="http://schemas.microsoft.com/office/drawing/2014/main" id="{B6580DB5-E66C-4892-98AA-9E2D91A79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4" name="Picture 1">
          <a:extLst>
            <a:ext uri="{FF2B5EF4-FFF2-40B4-BE49-F238E27FC236}">
              <a16:creationId xmlns:a16="http://schemas.microsoft.com/office/drawing/2014/main" id="{36B2B780-240D-4E7D-8449-64317A06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5" name="Picture 1">
          <a:extLst>
            <a:ext uri="{FF2B5EF4-FFF2-40B4-BE49-F238E27FC236}">
              <a16:creationId xmlns:a16="http://schemas.microsoft.com/office/drawing/2014/main" id="{EFCB0906-621B-459C-A670-0277E5F17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336" name="Picture 1">
          <a:extLst>
            <a:ext uri="{FF2B5EF4-FFF2-40B4-BE49-F238E27FC236}">
              <a16:creationId xmlns:a16="http://schemas.microsoft.com/office/drawing/2014/main" id="{ABAA1CBC-ECEB-45FB-8721-EF1597237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864719</xdr:colOff>
      <xdr:row>109</xdr:row>
      <xdr:rowOff>144360</xdr:rowOff>
    </xdr:from>
    <xdr:ext cx="1294920" cy="57240"/>
    <xdr:pic>
      <xdr:nvPicPr>
        <xdr:cNvPr id="337" name="Picture 1">
          <a:extLst>
            <a:ext uri="{FF2B5EF4-FFF2-40B4-BE49-F238E27FC236}">
              <a16:creationId xmlns:a16="http://schemas.microsoft.com/office/drawing/2014/main" id="{63D34FF7-DD94-4A5F-ABA5-A20D8BF5B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0095694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864719</xdr:colOff>
      <xdr:row>110</xdr:row>
      <xdr:rowOff>144360</xdr:rowOff>
    </xdr:from>
    <xdr:ext cx="1294920" cy="57240"/>
    <xdr:pic>
      <xdr:nvPicPr>
        <xdr:cNvPr id="338" name="Picture 1">
          <a:extLst>
            <a:ext uri="{FF2B5EF4-FFF2-40B4-BE49-F238E27FC236}">
              <a16:creationId xmlns:a16="http://schemas.microsoft.com/office/drawing/2014/main" id="{52D389BD-B46E-46C9-A550-7C15B8871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0095694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864719</xdr:colOff>
      <xdr:row>111</xdr:row>
      <xdr:rowOff>144000</xdr:rowOff>
    </xdr:from>
    <xdr:ext cx="1294920" cy="57960"/>
    <xdr:pic>
      <xdr:nvPicPr>
        <xdr:cNvPr id="339" name="Picture 1">
          <a:extLst>
            <a:ext uri="{FF2B5EF4-FFF2-40B4-BE49-F238E27FC236}">
              <a16:creationId xmlns:a16="http://schemas.microsoft.com/office/drawing/2014/main" id="{DFA63C9C-E2D0-426D-8FCC-F62F22A5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0095694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17</xdr:col>
      <xdr:colOff>864719</xdr:colOff>
      <xdr:row>112</xdr:row>
      <xdr:rowOff>144360</xdr:rowOff>
    </xdr:from>
    <xdr:ext cx="1294920" cy="57240"/>
    <xdr:pic>
      <xdr:nvPicPr>
        <xdr:cNvPr id="340" name="Picture 1">
          <a:extLst>
            <a:ext uri="{FF2B5EF4-FFF2-40B4-BE49-F238E27FC236}">
              <a16:creationId xmlns:a16="http://schemas.microsoft.com/office/drawing/2014/main" id="{50CB13F0-075D-4329-9D32-966A590F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0095694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1" name="Picture 1">
          <a:extLst>
            <a:ext uri="{FF2B5EF4-FFF2-40B4-BE49-F238E27FC236}">
              <a16:creationId xmlns:a16="http://schemas.microsoft.com/office/drawing/2014/main" id="{8FBFC829-7F0D-42B7-BABF-270C2C860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2" name="Picture 1">
          <a:extLst>
            <a:ext uri="{FF2B5EF4-FFF2-40B4-BE49-F238E27FC236}">
              <a16:creationId xmlns:a16="http://schemas.microsoft.com/office/drawing/2014/main" id="{D8BFAF35-C630-40C0-A224-1E18ADB6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3" name="Picture 1">
          <a:extLst>
            <a:ext uri="{FF2B5EF4-FFF2-40B4-BE49-F238E27FC236}">
              <a16:creationId xmlns:a16="http://schemas.microsoft.com/office/drawing/2014/main" id="{D47450CF-1B72-4722-AE9E-80222A6E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4" name="Picture 1">
          <a:extLst>
            <a:ext uri="{FF2B5EF4-FFF2-40B4-BE49-F238E27FC236}">
              <a16:creationId xmlns:a16="http://schemas.microsoft.com/office/drawing/2014/main" id="{649DFA9F-E99B-471A-BE83-3B5DE0581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5" name="Picture 1">
          <a:extLst>
            <a:ext uri="{FF2B5EF4-FFF2-40B4-BE49-F238E27FC236}">
              <a16:creationId xmlns:a16="http://schemas.microsoft.com/office/drawing/2014/main" id="{6A792E55-2D3E-402A-A379-050C6D77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6" name="Picture 1">
          <a:extLst>
            <a:ext uri="{FF2B5EF4-FFF2-40B4-BE49-F238E27FC236}">
              <a16:creationId xmlns:a16="http://schemas.microsoft.com/office/drawing/2014/main" id="{79331C78-625D-4A75-8A3F-33F89F1F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7" name="Picture 1">
          <a:extLst>
            <a:ext uri="{FF2B5EF4-FFF2-40B4-BE49-F238E27FC236}">
              <a16:creationId xmlns:a16="http://schemas.microsoft.com/office/drawing/2014/main" id="{051557FB-58C6-498D-88AE-4505529F1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8" name="Picture 1">
          <a:extLst>
            <a:ext uri="{FF2B5EF4-FFF2-40B4-BE49-F238E27FC236}">
              <a16:creationId xmlns:a16="http://schemas.microsoft.com/office/drawing/2014/main" id="{B5E71B81-95EE-494A-8820-E7F8A4B4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49" name="Picture 1">
          <a:extLst>
            <a:ext uri="{FF2B5EF4-FFF2-40B4-BE49-F238E27FC236}">
              <a16:creationId xmlns:a16="http://schemas.microsoft.com/office/drawing/2014/main" id="{AA0ED8E2-1F16-4979-A214-AA07C53D0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0" name="Picture 1">
          <a:extLst>
            <a:ext uri="{FF2B5EF4-FFF2-40B4-BE49-F238E27FC236}">
              <a16:creationId xmlns:a16="http://schemas.microsoft.com/office/drawing/2014/main" id="{F8D960D7-8368-4E20-9353-4725EC63A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1" name="Picture 1">
          <a:extLst>
            <a:ext uri="{FF2B5EF4-FFF2-40B4-BE49-F238E27FC236}">
              <a16:creationId xmlns:a16="http://schemas.microsoft.com/office/drawing/2014/main" id="{2ABBDB28-9DE6-42F2-A2A1-E6DD5ACA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2" name="Picture 1">
          <a:extLst>
            <a:ext uri="{FF2B5EF4-FFF2-40B4-BE49-F238E27FC236}">
              <a16:creationId xmlns:a16="http://schemas.microsoft.com/office/drawing/2014/main" id="{7D74E57A-7A07-4665-A33C-FD1C7637A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3" name="Picture 1">
          <a:extLst>
            <a:ext uri="{FF2B5EF4-FFF2-40B4-BE49-F238E27FC236}">
              <a16:creationId xmlns:a16="http://schemas.microsoft.com/office/drawing/2014/main" id="{E79CB2D3-448B-4CBA-90AD-57BADCF8C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4" name="Picture 1">
          <a:extLst>
            <a:ext uri="{FF2B5EF4-FFF2-40B4-BE49-F238E27FC236}">
              <a16:creationId xmlns:a16="http://schemas.microsoft.com/office/drawing/2014/main" id="{7F27B6F2-B0C6-4808-A172-D6AF62F3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5" name="Picture 1">
          <a:extLst>
            <a:ext uri="{FF2B5EF4-FFF2-40B4-BE49-F238E27FC236}">
              <a16:creationId xmlns:a16="http://schemas.microsoft.com/office/drawing/2014/main" id="{7E201F58-D056-4CD7-8446-B13F1D467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6" name="Picture 1">
          <a:extLst>
            <a:ext uri="{FF2B5EF4-FFF2-40B4-BE49-F238E27FC236}">
              <a16:creationId xmlns:a16="http://schemas.microsoft.com/office/drawing/2014/main" id="{9F2922B2-3B73-4FFC-9B9B-36DFA614E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357" name="Picture 1">
          <a:extLst>
            <a:ext uri="{FF2B5EF4-FFF2-40B4-BE49-F238E27FC236}">
              <a16:creationId xmlns:a16="http://schemas.microsoft.com/office/drawing/2014/main" id="{4153D481-F0F8-4876-AA06-4E1874C41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58" name="Picture 1">
          <a:extLst>
            <a:ext uri="{FF2B5EF4-FFF2-40B4-BE49-F238E27FC236}">
              <a16:creationId xmlns:a16="http://schemas.microsoft.com/office/drawing/2014/main" id="{D423C47B-15B9-4F5F-8639-A3C61F5F7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59" name="Picture 1">
          <a:extLst>
            <a:ext uri="{FF2B5EF4-FFF2-40B4-BE49-F238E27FC236}">
              <a16:creationId xmlns:a16="http://schemas.microsoft.com/office/drawing/2014/main" id="{2D9DBBF3-77BB-433D-8D36-24015686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0" name="Picture 1">
          <a:extLst>
            <a:ext uri="{FF2B5EF4-FFF2-40B4-BE49-F238E27FC236}">
              <a16:creationId xmlns:a16="http://schemas.microsoft.com/office/drawing/2014/main" id="{6A6B431F-E7F7-468C-A3C9-15165834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1" name="Picture 1">
          <a:extLst>
            <a:ext uri="{FF2B5EF4-FFF2-40B4-BE49-F238E27FC236}">
              <a16:creationId xmlns:a16="http://schemas.microsoft.com/office/drawing/2014/main" id="{BCE8A1A1-77AF-4E69-9B18-11FD3901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2" name="Picture 1">
          <a:extLst>
            <a:ext uri="{FF2B5EF4-FFF2-40B4-BE49-F238E27FC236}">
              <a16:creationId xmlns:a16="http://schemas.microsoft.com/office/drawing/2014/main" id="{F61266C8-465C-45E4-81A1-D88EE5F88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3" name="Picture 1">
          <a:extLst>
            <a:ext uri="{FF2B5EF4-FFF2-40B4-BE49-F238E27FC236}">
              <a16:creationId xmlns:a16="http://schemas.microsoft.com/office/drawing/2014/main" id="{9F51E92D-BCD0-4EA0-9C9E-E6B0AFB3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4" name="Picture 1">
          <a:extLst>
            <a:ext uri="{FF2B5EF4-FFF2-40B4-BE49-F238E27FC236}">
              <a16:creationId xmlns:a16="http://schemas.microsoft.com/office/drawing/2014/main" id="{57E2BB08-4DD7-4E55-8BA6-EDC9A03B8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5" name="Picture 1">
          <a:extLst>
            <a:ext uri="{FF2B5EF4-FFF2-40B4-BE49-F238E27FC236}">
              <a16:creationId xmlns:a16="http://schemas.microsoft.com/office/drawing/2014/main" id="{664AB6C4-E799-4C68-BEC3-99C87ED66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6" name="Picture 1">
          <a:extLst>
            <a:ext uri="{FF2B5EF4-FFF2-40B4-BE49-F238E27FC236}">
              <a16:creationId xmlns:a16="http://schemas.microsoft.com/office/drawing/2014/main" id="{D468A70E-758A-4A8D-82CE-A2A79CF24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7" name="Picture 1">
          <a:extLst>
            <a:ext uri="{FF2B5EF4-FFF2-40B4-BE49-F238E27FC236}">
              <a16:creationId xmlns:a16="http://schemas.microsoft.com/office/drawing/2014/main" id="{C4703794-A594-42D2-9424-7E12B681D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8" name="Picture 1">
          <a:extLst>
            <a:ext uri="{FF2B5EF4-FFF2-40B4-BE49-F238E27FC236}">
              <a16:creationId xmlns:a16="http://schemas.microsoft.com/office/drawing/2014/main" id="{0BA6F76D-E6A5-4483-988F-739E4C9F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69" name="Picture 1">
          <a:extLst>
            <a:ext uri="{FF2B5EF4-FFF2-40B4-BE49-F238E27FC236}">
              <a16:creationId xmlns:a16="http://schemas.microsoft.com/office/drawing/2014/main" id="{401358DA-41E8-46F4-9333-2EFE46714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70" name="Picture 1">
          <a:extLst>
            <a:ext uri="{FF2B5EF4-FFF2-40B4-BE49-F238E27FC236}">
              <a16:creationId xmlns:a16="http://schemas.microsoft.com/office/drawing/2014/main" id="{06DF5045-C161-49C2-9E2E-27AA603A7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71" name="Picture 1">
          <a:extLst>
            <a:ext uri="{FF2B5EF4-FFF2-40B4-BE49-F238E27FC236}">
              <a16:creationId xmlns:a16="http://schemas.microsoft.com/office/drawing/2014/main" id="{2837AB8C-E578-4D36-83FD-150C98B4B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72" name="Picture 1">
          <a:extLst>
            <a:ext uri="{FF2B5EF4-FFF2-40B4-BE49-F238E27FC236}">
              <a16:creationId xmlns:a16="http://schemas.microsoft.com/office/drawing/2014/main" id="{1D28ABF8-95F9-438E-8B85-ED66E5000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73" name="Picture 1">
          <a:extLst>
            <a:ext uri="{FF2B5EF4-FFF2-40B4-BE49-F238E27FC236}">
              <a16:creationId xmlns:a16="http://schemas.microsoft.com/office/drawing/2014/main" id="{04E21765-B102-4D2A-82DD-0F94A2737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374" name="Picture 1">
          <a:extLst>
            <a:ext uri="{FF2B5EF4-FFF2-40B4-BE49-F238E27FC236}">
              <a16:creationId xmlns:a16="http://schemas.microsoft.com/office/drawing/2014/main" id="{24E953B4-EDEB-4943-9507-89411B52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75" name="Picture 1">
          <a:extLst>
            <a:ext uri="{FF2B5EF4-FFF2-40B4-BE49-F238E27FC236}">
              <a16:creationId xmlns:a16="http://schemas.microsoft.com/office/drawing/2014/main" id="{3DD0D7D5-8E54-4CC0-B70B-3B730CAF8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76" name="Picture 1">
          <a:extLst>
            <a:ext uri="{FF2B5EF4-FFF2-40B4-BE49-F238E27FC236}">
              <a16:creationId xmlns:a16="http://schemas.microsoft.com/office/drawing/2014/main" id="{D32F47F4-8773-46F1-9210-A1A360E49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77" name="Picture 1">
          <a:extLst>
            <a:ext uri="{FF2B5EF4-FFF2-40B4-BE49-F238E27FC236}">
              <a16:creationId xmlns:a16="http://schemas.microsoft.com/office/drawing/2014/main" id="{C8B43EB9-7E28-4255-B755-65E6CB679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78" name="Picture 1">
          <a:extLst>
            <a:ext uri="{FF2B5EF4-FFF2-40B4-BE49-F238E27FC236}">
              <a16:creationId xmlns:a16="http://schemas.microsoft.com/office/drawing/2014/main" id="{02F73513-193F-4B75-95EC-1C3B95A5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79" name="Picture 1">
          <a:extLst>
            <a:ext uri="{FF2B5EF4-FFF2-40B4-BE49-F238E27FC236}">
              <a16:creationId xmlns:a16="http://schemas.microsoft.com/office/drawing/2014/main" id="{EBFBB8C5-FE85-41BF-B34B-7475A1CE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0" name="Picture 1">
          <a:extLst>
            <a:ext uri="{FF2B5EF4-FFF2-40B4-BE49-F238E27FC236}">
              <a16:creationId xmlns:a16="http://schemas.microsoft.com/office/drawing/2014/main" id="{5BF93DEF-DEF2-49A7-B924-B2E222B8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1" name="Picture 1">
          <a:extLst>
            <a:ext uri="{FF2B5EF4-FFF2-40B4-BE49-F238E27FC236}">
              <a16:creationId xmlns:a16="http://schemas.microsoft.com/office/drawing/2014/main" id="{21BB94A6-BCA2-4809-8EE8-080EDB3D4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2" name="Picture 1">
          <a:extLst>
            <a:ext uri="{FF2B5EF4-FFF2-40B4-BE49-F238E27FC236}">
              <a16:creationId xmlns:a16="http://schemas.microsoft.com/office/drawing/2014/main" id="{93915938-64E5-498D-B870-C408EE8D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3" name="Picture 1">
          <a:extLst>
            <a:ext uri="{FF2B5EF4-FFF2-40B4-BE49-F238E27FC236}">
              <a16:creationId xmlns:a16="http://schemas.microsoft.com/office/drawing/2014/main" id="{689321C4-E562-4E45-8963-8FA12D5A5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4" name="Picture 1">
          <a:extLst>
            <a:ext uri="{FF2B5EF4-FFF2-40B4-BE49-F238E27FC236}">
              <a16:creationId xmlns:a16="http://schemas.microsoft.com/office/drawing/2014/main" id="{5CF807EB-3167-48A0-8388-8100B8E9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5" name="Picture 1">
          <a:extLst>
            <a:ext uri="{FF2B5EF4-FFF2-40B4-BE49-F238E27FC236}">
              <a16:creationId xmlns:a16="http://schemas.microsoft.com/office/drawing/2014/main" id="{06C49F3F-BD64-4DE5-875D-2E85A9A5E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6" name="Picture 1">
          <a:extLst>
            <a:ext uri="{FF2B5EF4-FFF2-40B4-BE49-F238E27FC236}">
              <a16:creationId xmlns:a16="http://schemas.microsoft.com/office/drawing/2014/main" id="{E1735168-F098-432B-98B6-EA0C35330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7" name="Picture 1">
          <a:extLst>
            <a:ext uri="{FF2B5EF4-FFF2-40B4-BE49-F238E27FC236}">
              <a16:creationId xmlns:a16="http://schemas.microsoft.com/office/drawing/2014/main" id="{22BC38DE-2381-444C-8203-42250F844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8" name="Picture 1">
          <a:extLst>
            <a:ext uri="{FF2B5EF4-FFF2-40B4-BE49-F238E27FC236}">
              <a16:creationId xmlns:a16="http://schemas.microsoft.com/office/drawing/2014/main" id="{E8C47353-A141-47F5-9341-D76011D2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89" name="Picture 1">
          <a:extLst>
            <a:ext uri="{FF2B5EF4-FFF2-40B4-BE49-F238E27FC236}">
              <a16:creationId xmlns:a16="http://schemas.microsoft.com/office/drawing/2014/main" id="{D3A91C08-3762-4D95-80B3-5F1725B17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90" name="Picture 1">
          <a:extLst>
            <a:ext uri="{FF2B5EF4-FFF2-40B4-BE49-F238E27FC236}">
              <a16:creationId xmlns:a16="http://schemas.microsoft.com/office/drawing/2014/main" id="{9FB6ACDA-3B5A-4D08-928E-3646CCE3E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391" name="Picture 1">
          <a:extLst>
            <a:ext uri="{FF2B5EF4-FFF2-40B4-BE49-F238E27FC236}">
              <a16:creationId xmlns:a16="http://schemas.microsoft.com/office/drawing/2014/main" id="{946A3A0B-2005-457F-A819-A2D53267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2" name="Picture 1">
          <a:extLst>
            <a:ext uri="{FF2B5EF4-FFF2-40B4-BE49-F238E27FC236}">
              <a16:creationId xmlns:a16="http://schemas.microsoft.com/office/drawing/2014/main" id="{94A65AFD-2186-4CCE-A3A6-B740AD62C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3" name="Picture 1">
          <a:extLst>
            <a:ext uri="{FF2B5EF4-FFF2-40B4-BE49-F238E27FC236}">
              <a16:creationId xmlns:a16="http://schemas.microsoft.com/office/drawing/2014/main" id="{4FE2BD4F-7B67-40CD-AFE0-615BD39B2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4" name="Picture 1">
          <a:extLst>
            <a:ext uri="{FF2B5EF4-FFF2-40B4-BE49-F238E27FC236}">
              <a16:creationId xmlns:a16="http://schemas.microsoft.com/office/drawing/2014/main" id="{D59DA259-772D-4B5D-878F-268188143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5" name="Picture 1">
          <a:extLst>
            <a:ext uri="{FF2B5EF4-FFF2-40B4-BE49-F238E27FC236}">
              <a16:creationId xmlns:a16="http://schemas.microsoft.com/office/drawing/2014/main" id="{675413CD-A135-443B-8C9B-5B9ED931D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6" name="Picture 1">
          <a:extLst>
            <a:ext uri="{FF2B5EF4-FFF2-40B4-BE49-F238E27FC236}">
              <a16:creationId xmlns:a16="http://schemas.microsoft.com/office/drawing/2014/main" id="{28306558-F965-41A3-9F55-02647E21D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7" name="Picture 1">
          <a:extLst>
            <a:ext uri="{FF2B5EF4-FFF2-40B4-BE49-F238E27FC236}">
              <a16:creationId xmlns:a16="http://schemas.microsoft.com/office/drawing/2014/main" id="{8E123B43-028D-409A-B348-9C08818C3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8" name="Picture 1">
          <a:extLst>
            <a:ext uri="{FF2B5EF4-FFF2-40B4-BE49-F238E27FC236}">
              <a16:creationId xmlns:a16="http://schemas.microsoft.com/office/drawing/2014/main" id="{315CBEF5-5579-4627-91ED-002838731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399" name="Picture 1">
          <a:extLst>
            <a:ext uri="{FF2B5EF4-FFF2-40B4-BE49-F238E27FC236}">
              <a16:creationId xmlns:a16="http://schemas.microsoft.com/office/drawing/2014/main" id="{7DE435D3-990C-49B8-8DE5-63E71025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0" name="Picture 1">
          <a:extLst>
            <a:ext uri="{FF2B5EF4-FFF2-40B4-BE49-F238E27FC236}">
              <a16:creationId xmlns:a16="http://schemas.microsoft.com/office/drawing/2014/main" id="{40A23EFC-72E2-4B29-AE25-8DF516BBF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1" name="Picture 1">
          <a:extLst>
            <a:ext uri="{FF2B5EF4-FFF2-40B4-BE49-F238E27FC236}">
              <a16:creationId xmlns:a16="http://schemas.microsoft.com/office/drawing/2014/main" id="{4B178900-A180-4862-B89E-DC40B406C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2" name="Picture 1">
          <a:extLst>
            <a:ext uri="{FF2B5EF4-FFF2-40B4-BE49-F238E27FC236}">
              <a16:creationId xmlns:a16="http://schemas.microsoft.com/office/drawing/2014/main" id="{EEF08261-CA22-4CB8-9A19-EA32AA258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3" name="Picture 1">
          <a:extLst>
            <a:ext uri="{FF2B5EF4-FFF2-40B4-BE49-F238E27FC236}">
              <a16:creationId xmlns:a16="http://schemas.microsoft.com/office/drawing/2014/main" id="{0DFE2058-5203-4233-BE34-FD61670FA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4" name="Picture 1">
          <a:extLst>
            <a:ext uri="{FF2B5EF4-FFF2-40B4-BE49-F238E27FC236}">
              <a16:creationId xmlns:a16="http://schemas.microsoft.com/office/drawing/2014/main" id="{385A09FF-2FD0-4CB0-8644-75DBA53A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5" name="Picture 1">
          <a:extLst>
            <a:ext uri="{FF2B5EF4-FFF2-40B4-BE49-F238E27FC236}">
              <a16:creationId xmlns:a16="http://schemas.microsoft.com/office/drawing/2014/main" id="{05596AC4-679F-4A6B-BAD8-DF1062583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6" name="Picture 1">
          <a:extLst>
            <a:ext uri="{FF2B5EF4-FFF2-40B4-BE49-F238E27FC236}">
              <a16:creationId xmlns:a16="http://schemas.microsoft.com/office/drawing/2014/main" id="{6E4CAFCC-BDCD-4B92-9B8F-8C3DFA296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7" name="Picture 1">
          <a:extLst>
            <a:ext uri="{FF2B5EF4-FFF2-40B4-BE49-F238E27FC236}">
              <a16:creationId xmlns:a16="http://schemas.microsoft.com/office/drawing/2014/main" id="{265AD1FB-7878-41FF-B6A1-DAE482F4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408" name="Picture 1">
          <a:extLst>
            <a:ext uri="{FF2B5EF4-FFF2-40B4-BE49-F238E27FC236}">
              <a16:creationId xmlns:a16="http://schemas.microsoft.com/office/drawing/2014/main" id="{73306F6A-BD4F-488D-8031-7A0D7E0D3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09" name="Picture 1">
          <a:extLst>
            <a:ext uri="{FF2B5EF4-FFF2-40B4-BE49-F238E27FC236}">
              <a16:creationId xmlns:a16="http://schemas.microsoft.com/office/drawing/2014/main" id="{84E372E5-ACBA-476F-A6D5-30A7DB061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0" name="Picture 1">
          <a:extLst>
            <a:ext uri="{FF2B5EF4-FFF2-40B4-BE49-F238E27FC236}">
              <a16:creationId xmlns:a16="http://schemas.microsoft.com/office/drawing/2014/main" id="{D94F8363-0AED-459F-9B15-51844CB3C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1" name="Picture 1">
          <a:extLst>
            <a:ext uri="{FF2B5EF4-FFF2-40B4-BE49-F238E27FC236}">
              <a16:creationId xmlns:a16="http://schemas.microsoft.com/office/drawing/2014/main" id="{F81ECFFE-5690-413D-8A18-CE8595CD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2" name="Picture 1">
          <a:extLst>
            <a:ext uri="{FF2B5EF4-FFF2-40B4-BE49-F238E27FC236}">
              <a16:creationId xmlns:a16="http://schemas.microsoft.com/office/drawing/2014/main" id="{3CF222DA-CF7F-41D5-9769-E6524E613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3" name="Picture 1">
          <a:extLst>
            <a:ext uri="{FF2B5EF4-FFF2-40B4-BE49-F238E27FC236}">
              <a16:creationId xmlns:a16="http://schemas.microsoft.com/office/drawing/2014/main" id="{BE7CD417-062F-4B4E-948B-3E75FC88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4" name="Picture 1">
          <a:extLst>
            <a:ext uri="{FF2B5EF4-FFF2-40B4-BE49-F238E27FC236}">
              <a16:creationId xmlns:a16="http://schemas.microsoft.com/office/drawing/2014/main" id="{71A19458-388C-4D89-8582-9F74A02C9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5" name="Picture 1">
          <a:extLst>
            <a:ext uri="{FF2B5EF4-FFF2-40B4-BE49-F238E27FC236}">
              <a16:creationId xmlns:a16="http://schemas.microsoft.com/office/drawing/2014/main" id="{7160E24D-1F82-43BA-9332-232E67E4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6" name="Picture 1">
          <a:extLst>
            <a:ext uri="{FF2B5EF4-FFF2-40B4-BE49-F238E27FC236}">
              <a16:creationId xmlns:a16="http://schemas.microsoft.com/office/drawing/2014/main" id="{1BFD9B65-36AF-425C-B2C9-DE954AE7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7" name="Picture 1">
          <a:extLst>
            <a:ext uri="{FF2B5EF4-FFF2-40B4-BE49-F238E27FC236}">
              <a16:creationId xmlns:a16="http://schemas.microsoft.com/office/drawing/2014/main" id="{776B1E84-06CC-469D-A1E5-989EF0909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8" name="Picture 1">
          <a:extLst>
            <a:ext uri="{FF2B5EF4-FFF2-40B4-BE49-F238E27FC236}">
              <a16:creationId xmlns:a16="http://schemas.microsoft.com/office/drawing/2014/main" id="{52E16829-604C-4140-9E18-9D2D84EE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19" name="Picture 1">
          <a:extLst>
            <a:ext uri="{FF2B5EF4-FFF2-40B4-BE49-F238E27FC236}">
              <a16:creationId xmlns:a16="http://schemas.microsoft.com/office/drawing/2014/main" id="{16798BF2-154C-4E99-B1B8-CB8528C6F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0" name="Picture 1">
          <a:extLst>
            <a:ext uri="{FF2B5EF4-FFF2-40B4-BE49-F238E27FC236}">
              <a16:creationId xmlns:a16="http://schemas.microsoft.com/office/drawing/2014/main" id="{26B3BECE-66B3-4FF4-A30E-4BEBC7BCC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1" name="Picture 1">
          <a:extLst>
            <a:ext uri="{FF2B5EF4-FFF2-40B4-BE49-F238E27FC236}">
              <a16:creationId xmlns:a16="http://schemas.microsoft.com/office/drawing/2014/main" id="{BBB898DF-69AD-42F9-9A5D-F0896F18B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2" name="Picture 1">
          <a:extLst>
            <a:ext uri="{FF2B5EF4-FFF2-40B4-BE49-F238E27FC236}">
              <a16:creationId xmlns:a16="http://schemas.microsoft.com/office/drawing/2014/main" id="{5E8F627F-47A2-45AF-9B9B-4AF3141C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3" name="Picture 1">
          <a:extLst>
            <a:ext uri="{FF2B5EF4-FFF2-40B4-BE49-F238E27FC236}">
              <a16:creationId xmlns:a16="http://schemas.microsoft.com/office/drawing/2014/main" id="{2A96B067-081B-4F0E-B11F-477CB54E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4" name="Picture 1">
          <a:extLst>
            <a:ext uri="{FF2B5EF4-FFF2-40B4-BE49-F238E27FC236}">
              <a16:creationId xmlns:a16="http://schemas.microsoft.com/office/drawing/2014/main" id="{69565B62-F85D-4ABF-B9F7-677FEF798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425" name="Picture 1">
          <a:extLst>
            <a:ext uri="{FF2B5EF4-FFF2-40B4-BE49-F238E27FC236}">
              <a16:creationId xmlns:a16="http://schemas.microsoft.com/office/drawing/2014/main" id="{6092B542-1960-4433-BE84-2A0C488E7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26" name="Picture 1">
          <a:extLst>
            <a:ext uri="{FF2B5EF4-FFF2-40B4-BE49-F238E27FC236}">
              <a16:creationId xmlns:a16="http://schemas.microsoft.com/office/drawing/2014/main" id="{CF0CE486-67E9-44E2-8AF2-BE67B471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27" name="Picture 1">
          <a:extLst>
            <a:ext uri="{FF2B5EF4-FFF2-40B4-BE49-F238E27FC236}">
              <a16:creationId xmlns:a16="http://schemas.microsoft.com/office/drawing/2014/main" id="{A8AA58F5-F0A2-4424-969F-230CE1FF6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28" name="Picture 1">
          <a:extLst>
            <a:ext uri="{FF2B5EF4-FFF2-40B4-BE49-F238E27FC236}">
              <a16:creationId xmlns:a16="http://schemas.microsoft.com/office/drawing/2014/main" id="{579A8C88-8518-4EEF-A7DF-5B542A20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29" name="Picture 1">
          <a:extLst>
            <a:ext uri="{FF2B5EF4-FFF2-40B4-BE49-F238E27FC236}">
              <a16:creationId xmlns:a16="http://schemas.microsoft.com/office/drawing/2014/main" id="{F7BD2969-03CB-4BDB-81CA-494672B1E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0" name="Picture 1">
          <a:extLst>
            <a:ext uri="{FF2B5EF4-FFF2-40B4-BE49-F238E27FC236}">
              <a16:creationId xmlns:a16="http://schemas.microsoft.com/office/drawing/2014/main" id="{D669DE38-AA14-4557-AC1F-ECA405E6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1" name="Picture 1">
          <a:extLst>
            <a:ext uri="{FF2B5EF4-FFF2-40B4-BE49-F238E27FC236}">
              <a16:creationId xmlns:a16="http://schemas.microsoft.com/office/drawing/2014/main" id="{F17AA3F7-A281-48E4-83E3-655FC665D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2" name="Picture 1">
          <a:extLst>
            <a:ext uri="{FF2B5EF4-FFF2-40B4-BE49-F238E27FC236}">
              <a16:creationId xmlns:a16="http://schemas.microsoft.com/office/drawing/2014/main" id="{C75F5984-EB3D-43BD-BE92-5B58864FC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3" name="Picture 1">
          <a:extLst>
            <a:ext uri="{FF2B5EF4-FFF2-40B4-BE49-F238E27FC236}">
              <a16:creationId xmlns:a16="http://schemas.microsoft.com/office/drawing/2014/main" id="{84847360-8B53-443E-AB42-9AFA339E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4" name="Picture 1">
          <a:extLst>
            <a:ext uri="{FF2B5EF4-FFF2-40B4-BE49-F238E27FC236}">
              <a16:creationId xmlns:a16="http://schemas.microsoft.com/office/drawing/2014/main" id="{0983CCD9-116D-403D-B3E2-8400288C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5" name="Picture 1">
          <a:extLst>
            <a:ext uri="{FF2B5EF4-FFF2-40B4-BE49-F238E27FC236}">
              <a16:creationId xmlns:a16="http://schemas.microsoft.com/office/drawing/2014/main" id="{E56D211C-3B33-48CD-ABBC-144D7458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6" name="Picture 1">
          <a:extLst>
            <a:ext uri="{FF2B5EF4-FFF2-40B4-BE49-F238E27FC236}">
              <a16:creationId xmlns:a16="http://schemas.microsoft.com/office/drawing/2014/main" id="{9F32602A-4AEA-47C9-BD4C-3B5233FF7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7" name="Picture 1">
          <a:extLst>
            <a:ext uri="{FF2B5EF4-FFF2-40B4-BE49-F238E27FC236}">
              <a16:creationId xmlns:a16="http://schemas.microsoft.com/office/drawing/2014/main" id="{A29A936D-5994-41A0-B8E0-ED8D006AF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8" name="Picture 1">
          <a:extLst>
            <a:ext uri="{FF2B5EF4-FFF2-40B4-BE49-F238E27FC236}">
              <a16:creationId xmlns:a16="http://schemas.microsoft.com/office/drawing/2014/main" id="{2F74A13B-4E00-4581-88A8-604B8DD2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39" name="Picture 1">
          <a:extLst>
            <a:ext uri="{FF2B5EF4-FFF2-40B4-BE49-F238E27FC236}">
              <a16:creationId xmlns:a16="http://schemas.microsoft.com/office/drawing/2014/main" id="{16BEA22A-F6E7-4134-BC89-EF5C8140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40" name="Picture 1">
          <a:extLst>
            <a:ext uri="{FF2B5EF4-FFF2-40B4-BE49-F238E27FC236}">
              <a16:creationId xmlns:a16="http://schemas.microsoft.com/office/drawing/2014/main" id="{8ADF13F8-6386-4FA8-86F4-431EC484D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41" name="Picture 1">
          <a:extLst>
            <a:ext uri="{FF2B5EF4-FFF2-40B4-BE49-F238E27FC236}">
              <a16:creationId xmlns:a16="http://schemas.microsoft.com/office/drawing/2014/main" id="{ED46C0E9-08C7-4103-8AB7-FF1C11675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442" name="Picture 1">
          <a:extLst>
            <a:ext uri="{FF2B5EF4-FFF2-40B4-BE49-F238E27FC236}">
              <a16:creationId xmlns:a16="http://schemas.microsoft.com/office/drawing/2014/main" id="{7A623E35-F477-48AB-8809-A4D027F5E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3" name="Picture 1">
          <a:extLst>
            <a:ext uri="{FF2B5EF4-FFF2-40B4-BE49-F238E27FC236}">
              <a16:creationId xmlns:a16="http://schemas.microsoft.com/office/drawing/2014/main" id="{7929497A-0F4B-4403-B23E-5BB2E87BB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4" name="Picture 1">
          <a:extLst>
            <a:ext uri="{FF2B5EF4-FFF2-40B4-BE49-F238E27FC236}">
              <a16:creationId xmlns:a16="http://schemas.microsoft.com/office/drawing/2014/main" id="{7045464D-AA37-4463-98ED-4A164F6D5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5" name="Picture 1">
          <a:extLst>
            <a:ext uri="{FF2B5EF4-FFF2-40B4-BE49-F238E27FC236}">
              <a16:creationId xmlns:a16="http://schemas.microsoft.com/office/drawing/2014/main" id="{7A8290F9-C2DD-4187-8F49-CFC51AFB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6" name="Picture 1">
          <a:extLst>
            <a:ext uri="{FF2B5EF4-FFF2-40B4-BE49-F238E27FC236}">
              <a16:creationId xmlns:a16="http://schemas.microsoft.com/office/drawing/2014/main" id="{DDDC173E-F9E4-4CFB-B960-80ECFBCD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7" name="Picture 1">
          <a:extLst>
            <a:ext uri="{FF2B5EF4-FFF2-40B4-BE49-F238E27FC236}">
              <a16:creationId xmlns:a16="http://schemas.microsoft.com/office/drawing/2014/main" id="{6E13994B-2E97-476F-95B0-287D27B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8" name="Picture 1">
          <a:extLst>
            <a:ext uri="{FF2B5EF4-FFF2-40B4-BE49-F238E27FC236}">
              <a16:creationId xmlns:a16="http://schemas.microsoft.com/office/drawing/2014/main" id="{62A87DE9-B35C-4959-BD6A-B3E7805E0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49" name="Picture 1">
          <a:extLst>
            <a:ext uri="{FF2B5EF4-FFF2-40B4-BE49-F238E27FC236}">
              <a16:creationId xmlns:a16="http://schemas.microsoft.com/office/drawing/2014/main" id="{308233E5-3C70-4525-BE1C-B857BD99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0" name="Picture 1">
          <a:extLst>
            <a:ext uri="{FF2B5EF4-FFF2-40B4-BE49-F238E27FC236}">
              <a16:creationId xmlns:a16="http://schemas.microsoft.com/office/drawing/2014/main" id="{56170CD2-4655-46C5-8896-5ADDFED1E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1" name="Picture 1">
          <a:extLst>
            <a:ext uri="{FF2B5EF4-FFF2-40B4-BE49-F238E27FC236}">
              <a16:creationId xmlns:a16="http://schemas.microsoft.com/office/drawing/2014/main" id="{FDCF723B-7798-4489-9201-18CE72970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2" name="Picture 1">
          <a:extLst>
            <a:ext uri="{FF2B5EF4-FFF2-40B4-BE49-F238E27FC236}">
              <a16:creationId xmlns:a16="http://schemas.microsoft.com/office/drawing/2014/main" id="{5630D614-82ED-43BA-89C6-5B03CB31F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3" name="Picture 1">
          <a:extLst>
            <a:ext uri="{FF2B5EF4-FFF2-40B4-BE49-F238E27FC236}">
              <a16:creationId xmlns:a16="http://schemas.microsoft.com/office/drawing/2014/main" id="{505DD54A-0DF5-4B91-9F4D-40DF3EDBE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4" name="Picture 1">
          <a:extLst>
            <a:ext uri="{FF2B5EF4-FFF2-40B4-BE49-F238E27FC236}">
              <a16:creationId xmlns:a16="http://schemas.microsoft.com/office/drawing/2014/main" id="{328A7468-4A9D-4133-97A8-F285A8836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5" name="Picture 1">
          <a:extLst>
            <a:ext uri="{FF2B5EF4-FFF2-40B4-BE49-F238E27FC236}">
              <a16:creationId xmlns:a16="http://schemas.microsoft.com/office/drawing/2014/main" id="{B6D175E5-D121-45D9-A67A-53E8F2A8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6" name="Picture 1">
          <a:extLst>
            <a:ext uri="{FF2B5EF4-FFF2-40B4-BE49-F238E27FC236}">
              <a16:creationId xmlns:a16="http://schemas.microsoft.com/office/drawing/2014/main" id="{B10D18E4-577E-4662-8F68-975DAD55B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7" name="Picture 1">
          <a:extLst>
            <a:ext uri="{FF2B5EF4-FFF2-40B4-BE49-F238E27FC236}">
              <a16:creationId xmlns:a16="http://schemas.microsoft.com/office/drawing/2014/main" id="{DE502F1E-B3B4-46EF-86D1-9836845F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8" name="Picture 1">
          <a:extLst>
            <a:ext uri="{FF2B5EF4-FFF2-40B4-BE49-F238E27FC236}">
              <a16:creationId xmlns:a16="http://schemas.microsoft.com/office/drawing/2014/main" id="{DA95BD9E-33F0-45A2-8F9A-EB029672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459" name="Picture 1">
          <a:extLst>
            <a:ext uri="{FF2B5EF4-FFF2-40B4-BE49-F238E27FC236}">
              <a16:creationId xmlns:a16="http://schemas.microsoft.com/office/drawing/2014/main" id="{8399E0A8-0C62-498F-ABFB-A2BFF1267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0" name="Picture 1">
          <a:extLst>
            <a:ext uri="{FF2B5EF4-FFF2-40B4-BE49-F238E27FC236}">
              <a16:creationId xmlns:a16="http://schemas.microsoft.com/office/drawing/2014/main" id="{D4F1C7F9-BD73-4E6B-AD12-D7C97C7A7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1" name="Picture 1">
          <a:extLst>
            <a:ext uri="{FF2B5EF4-FFF2-40B4-BE49-F238E27FC236}">
              <a16:creationId xmlns:a16="http://schemas.microsoft.com/office/drawing/2014/main" id="{63372A2D-EB84-4B62-A71F-62856FB4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2" name="Picture 1">
          <a:extLst>
            <a:ext uri="{FF2B5EF4-FFF2-40B4-BE49-F238E27FC236}">
              <a16:creationId xmlns:a16="http://schemas.microsoft.com/office/drawing/2014/main" id="{1D037CE5-63C7-4373-B8DC-000B714EB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3" name="Picture 1">
          <a:extLst>
            <a:ext uri="{FF2B5EF4-FFF2-40B4-BE49-F238E27FC236}">
              <a16:creationId xmlns:a16="http://schemas.microsoft.com/office/drawing/2014/main" id="{70C12463-6537-439F-A651-26D50CD9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4" name="Picture 1">
          <a:extLst>
            <a:ext uri="{FF2B5EF4-FFF2-40B4-BE49-F238E27FC236}">
              <a16:creationId xmlns:a16="http://schemas.microsoft.com/office/drawing/2014/main" id="{675B92FD-7203-4C01-99A8-FF5AD6004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5" name="Picture 1">
          <a:extLst>
            <a:ext uri="{FF2B5EF4-FFF2-40B4-BE49-F238E27FC236}">
              <a16:creationId xmlns:a16="http://schemas.microsoft.com/office/drawing/2014/main" id="{D106398A-862C-4246-8306-28560C17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6" name="Picture 1">
          <a:extLst>
            <a:ext uri="{FF2B5EF4-FFF2-40B4-BE49-F238E27FC236}">
              <a16:creationId xmlns:a16="http://schemas.microsoft.com/office/drawing/2014/main" id="{D8F9112D-C369-4410-B459-EB5EF9D19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7" name="Picture 1">
          <a:extLst>
            <a:ext uri="{FF2B5EF4-FFF2-40B4-BE49-F238E27FC236}">
              <a16:creationId xmlns:a16="http://schemas.microsoft.com/office/drawing/2014/main" id="{106F4131-5134-444D-9227-DD708DEFA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8" name="Picture 1">
          <a:extLst>
            <a:ext uri="{FF2B5EF4-FFF2-40B4-BE49-F238E27FC236}">
              <a16:creationId xmlns:a16="http://schemas.microsoft.com/office/drawing/2014/main" id="{89D5BFAC-D353-4879-8C30-9D8B132A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69" name="Picture 1">
          <a:extLst>
            <a:ext uri="{FF2B5EF4-FFF2-40B4-BE49-F238E27FC236}">
              <a16:creationId xmlns:a16="http://schemas.microsoft.com/office/drawing/2014/main" id="{ADDDD458-A8FA-462C-BDB6-459A78D94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0" name="Picture 1">
          <a:extLst>
            <a:ext uri="{FF2B5EF4-FFF2-40B4-BE49-F238E27FC236}">
              <a16:creationId xmlns:a16="http://schemas.microsoft.com/office/drawing/2014/main" id="{CD59BD38-8F1B-4C3B-9CFD-6D8B66B02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1" name="Picture 1">
          <a:extLst>
            <a:ext uri="{FF2B5EF4-FFF2-40B4-BE49-F238E27FC236}">
              <a16:creationId xmlns:a16="http://schemas.microsoft.com/office/drawing/2014/main" id="{6C6C4BB0-4252-4818-AA22-E9DFC923F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2" name="Picture 1">
          <a:extLst>
            <a:ext uri="{FF2B5EF4-FFF2-40B4-BE49-F238E27FC236}">
              <a16:creationId xmlns:a16="http://schemas.microsoft.com/office/drawing/2014/main" id="{E0BBB51E-9505-4C27-A041-A88E4C961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3" name="Picture 1">
          <a:extLst>
            <a:ext uri="{FF2B5EF4-FFF2-40B4-BE49-F238E27FC236}">
              <a16:creationId xmlns:a16="http://schemas.microsoft.com/office/drawing/2014/main" id="{04AF8597-3058-434A-B63B-F5A6DD6B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4" name="Picture 1">
          <a:extLst>
            <a:ext uri="{FF2B5EF4-FFF2-40B4-BE49-F238E27FC236}">
              <a16:creationId xmlns:a16="http://schemas.microsoft.com/office/drawing/2014/main" id="{E405625A-E90B-47C0-98D2-0FAFBBD51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5" name="Picture 1">
          <a:extLst>
            <a:ext uri="{FF2B5EF4-FFF2-40B4-BE49-F238E27FC236}">
              <a16:creationId xmlns:a16="http://schemas.microsoft.com/office/drawing/2014/main" id="{94610116-8C0E-4E16-A39F-87D4C9631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476" name="Picture 1">
          <a:extLst>
            <a:ext uri="{FF2B5EF4-FFF2-40B4-BE49-F238E27FC236}">
              <a16:creationId xmlns:a16="http://schemas.microsoft.com/office/drawing/2014/main" id="{4AA5020A-7BE8-4D0F-9F98-36CE9AC7B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55</xdr:row>
      <xdr:rowOff>144360</xdr:rowOff>
    </xdr:from>
    <xdr:ext cx="1294920" cy="57240"/>
    <xdr:pic>
      <xdr:nvPicPr>
        <xdr:cNvPr id="477" name="Picture 1">
          <a:extLst>
            <a:ext uri="{FF2B5EF4-FFF2-40B4-BE49-F238E27FC236}">
              <a16:creationId xmlns:a16="http://schemas.microsoft.com/office/drawing/2014/main" id="{6AF3A26F-ACF5-410A-91F7-1B2D7BF20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326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55</xdr:row>
      <xdr:rowOff>144360</xdr:rowOff>
    </xdr:from>
    <xdr:ext cx="1294920" cy="57240"/>
    <xdr:pic>
      <xdr:nvPicPr>
        <xdr:cNvPr id="478" name="Picture 1">
          <a:extLst>
            <a:ext uri="{FF2B5EF4-FFF2-40B4-BE49-F238E27FC236}">
              <a16:creationId xmlns:a16="http://schemas.microsoft.com/office/drawing/2014/main" id="{1335A7A3-4E83-41C8-9379-9AF34C65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326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479" name="Picture 1">
          <a:extLst>
            <a:ext uri="{FF2B5EF4-FFF2-40B4-BE49-F238E27FC236}">
              <a16:creationId xmlns:a16="http://schemas.microsoft.com/office/drawing/2014/main" id="{4803B588-9215-4CE7-B02E-3AB2DFD3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480" name="Picture 1">
          <a:extLst>
            <a:ext uri="{FF2B5EF4-FFF2-40B4-BE49-F238E27FC236}">
              <a16:creationId xmlns:a16="http://schemas.microsoft.com/office/drawing/2014/main" id="{998EE53D-ACAB-4F3C-9674-C26A63EA2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481" name="Picture 1">
          <a:extLst>
            <a:ext uri="{FF2B5EF4-FFF2-40B4-BE49-F238E27FC236}">
              <a16:creationId xmlns:a16="http://schemas.microsoft.com/office/drawing/2014/main" id="{A8DD8EA2-E4B4-4D1C-A89E-33D67467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482" name="Picture 1">
          <a:extLst>
            <a:ext uri="{FF2B5EF4-FFF2-40B4-BE49-F238E27FC236}">
              <a16:creationId xmlns:a16="http://schemas.microsoft.com/office/drawing/2014/main" id="{2CAC0483-1FB8-41FC-A8FE-FF2E93082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483" name="Picture 1">
          <a:extLst>
            <a:ext uri="{FF2B5EF4-FFF2-40B4-BE49-F238E27FC236}">
              <a16:creationId xmlns:a16="http://schemas.microsoft.com/office/drawing/2014/main" id="{601E015E-2D38-4748-9878-0057CA255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484" name="Picture 1">
          <a:extLst>
            <a:ext uri="{FF2B5EF4-FFF2-40B4-BE49-F238E27FC236}">
              <a16:creationId xmlns:a16="http://schemas.microsoft.com/office/drawing/2014/main" id="{EC8EA8F9-A537-451C-AD1C-FA400493B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485" name="Picture 1">
          <a:extLst>
            <a:ext uri="{FF2B5EF4-FFF2-40B4-BE49-F238E27FC236}">
              <a16:creationId xmlns:a16="http://schemas.microsoft.com/office/drawing/2014/main" id="{913DBA3D-0FAB-41AA-AE16-7EC1AA488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486" name="Picture 1">
          <a:extLst>
            <a:ext uri="{FF2B5EF4-FFF2-40B4-BE49-F238E27FC236}">
              <a16:creationId xmlns:a16="http://schemas.microsoft.com/office/drawing/2014/main" id="{63B9C6D8-C415-4DF6-B310-DD2CB60D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487" name="Picture 1">
          <a:extLst>
            <a:ext uri="{FF2B5EF4-FFF2-40B4-BE49-F238E27FC236}">
              <a16:creationId xmlns:a16="http://schemas.microsoft.com/office/drawing/2014/main" id="{F774EFF2-8F34-4AE7-8422-B51846B03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488" name="Picture 1">
          <a:extLst>
            <a:ext uri="{FF2B5EF4-FFF2-40B4-BE49-F238E27FC236}">
              <a16:creationId xmlns:a16="http://schemas.microsoft.com/office/drawing/2014/main" id="{378138A9-8F4B-4D1A-911A-5F185D1CB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489" name="Picture 1">
          <a:extLst>
            <a:ext uri="{FF2B5EF4-FFF2-40B4-BE49-F238E27FC236}">
              <a16:creationId xmlns:a16="http://schemas.microsoft.com/office/drawing/2014/main" id="{648C028C-819D-4603-88A4-CE175B6DA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490" name="Picture 1">
          <a:extLst>
            <a:ext uri="{FF2B5EF4-FFF2-40B4-BE49-F238E27FC236}">
              <a16:creationId xmlns:a16="http://schemas.microsoft.com/office/drawing/2014/main" id="{722A0261-F1E9-42BF-BF6F-CFE81FB04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491" name="Picture 1">
          <a:extLst>
            <a:ext uri="{FF2B5EF4-FFF2-40B4-BE49-F238E27FC236}">
              <a16:creationId xmlns:a16="http://schemas.microsoft.com/office/drawing/2014/main" id="{30BD1164-6491-43A9-B6BD-53DD79FB1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492" name="Picture 1">
          <a:extLst>
            <a:ext uri="{FF2B5EF4-FFF2-40B4-BE49-F238E27FC236}">
              <a16:creationId xmlns:a16="http://schemas.microsoft.com/office/drawing/2014/main" id="{5F6BC76D-545C-4B1B-A60C-50B25C524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493" name="Picture 1">
          <a:extLst>
            <a:ext uri="{FF2B5EF4-FFF2-40B4-BE49-F238E27FC236}">
              <a16:creationId xmlns:a16="http://schemas.microsoft.com/office/drawing/2014/main" id="{B02EF39C-7B57-401F-A6B9-5E96CDD9F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494" name="Picture 1">
          <a:extLst>
            <a:ext uri="{FF2B5EF4-FFF2-40B4-BE49-F238E27FC236}">
              <a16:creationId xmlns:a16="http://schemas.microsoft.com/office/drawing/2014/main" id="{40958075-5738-4AB1-A4B8-0511AE00F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495" name="Picture 1">
          <a:extLst>
            <a:ext uri="{FF2B5EF4-FFF2-40B4-BE49-F238E27FC236}">
              <a16:creationId xmlns:a16="http://schemas.microsoft.com/office/drawing/2014/main" id="{6205ABC1-030A-4D05-82CF-08FC2E054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496" name="Picture 1">
          <a:extLst>
            <a:ext uri="{FF2B5EF4-FFF2-40B4-BE49-F238E27FC236}">
              <a16:creationId xmlns:a16="http://schemas.microsoft.com/office/drawing/2014/main" id="{8275C118-66A8-43ED-B7CB-5AC8358F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497" name="Picture 1">
          <a:extLst>
            <a:ext uri="{FF2B5EF4-FFF2-40B4-BE49-F238E27FC236}">
              <a16:creationId xmlns:a16="http://schemas.microsoft.com/office/drawing/2014/main" id="{6280014A-A1B1-404A-B413-829824AC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498" name="Picture 1">
          <a:extLst>
            <a:ext uri="{FF2B5EF4-FFF2-40B4-BE49-F238E27FC236}">
              <a16:creationId xmlns:a16="http://schemas.microsoft.com/office/drawing/2014/main" id="{64128956-3D8B-4157-A327-7C1EAE60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499" name="Picture 1">
          <a:extLst>
            <a:ext uri="{FF2B5EF4-FFF2-40B4-BE49-F238E27FC236}">
              <a16:creationId xmlns:a16="http://schemas.microsoft.com/office/drawing/2014/main" id="{347046E5-EE1D-4E56-8EFA-91D528A9F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500" name="Picture 1">
          <a:extLst>
            <a:ext uri="{FF2B5EF4-FFF2-40B4-BE49-F238E27FC236}">
              <a16:creationId xmlns:a16="http://schemas.microsoft.com/office/drawing/2014/main" id="{2DD52988-CBE5-4654-B7C6-3EA1F18C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501" name="Picture 1">
          <a:extLst>
            <a:ext uri="{FF2B5EF4-FFF2-40B4-BE49-F238E27FC236}">
              <a16:creationId xmlns:a16="http://schemas.microsoft.com/office/drawing/2014/main" id="{DF5A3293-D953-404B-9599-31C7048BA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502" name="Picture 1">
          <a:extLst>
            <a:ext uri="{FF2B5EF4-FFF2-40B4-BE49-F238E27FC236}">
              <a16:creationId xmlns:a16="http://schemas.microsoft.com/office/drawing/2014/main" id="{A4411628-F0DB-44CC-B76A-5C912ED33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503" name="Picture 1">
          <a:extLst>
            <a:ext uri="{FF2B5EF4-FFF2-40B4-BE49-F238E27FC236}">
              <a16:creationId xmlns:a16="http://schemas.microsoft.com/office/drawing/2014/main" id="{C84723AD-3B13-4841-9B42-33C73B998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504" name="Picture 1">
          <a:extLst>
            <a:ext uri="{FF2B5EF4-FFF2-40B4-BE49-F238E27FC236}">
              <a16:creationId xmlns:a16="http://schemas.microsoft.com/office/drawing/2014/main" id="{E18C86A8-A175-4C92-9FB5-42F488619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505" name="Picture 1">
          <a:extLst>
            <a:ext uri="{FF2B5EF4-FFF2-40B4-BE49-F238E27FC236}">
              <a16:creationId xmlns:a16="http://schemas.microsoft.com/office/drawing/2014/main" id="{FD2F802C-7DB0-4C64-A52E-1E94968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506" name="Picture 1">
          <a:extLst>
            <a:ext uri="{FF2B5EF4-FFF2-40B4-BE49-F238E27FC236}">
              <a16:creationId xmlns:a16="http://schemas.microsoft.com/office/drawing/2014/main" id="{8B89B4A0-6BA8-4F2D-8E7B-C2805F059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507" name="Picture 1">
          <a:extLst>
            <a:ext uri="{FF2B5EF4-FFF2-40B4-BE49-F238E27FC236}">
              <a16:creationId xmlns:a16="http://schemas.microsoft.com/office/drawing/2014/main" id="{5952EC3A-9605-4E0B-A68D-AD5375BA3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508" name="Picture 1">
          <a:extLst>
            <a:ext uri="{FF2B5EF4-FFF2-40B4-BE49-F238E27FC236}">
              <a16:creationId xmlns:a16="http://schemas.microsoft.com/office/drawing/2014/main" id="{F58AFAB0-1649-4797-BEA4-A8D3C06DF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509" name="Picture 1">
          <a:extLst>
            <a:ext uri="{FF2B5EF4-FFF2-40B4-BE49-F238E27FC236}">
              <a16:creationId xmlns:a16="http://schemas.microsoft.com/office/drawing/2014/main" id="{30485280-F8C4-4224-A902-62248689F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510" name="Picture 1">
          <a:extLst>
            <a:ext uri="{FF2B5EF4-FFF2-40B4-BE49-F238E27FC236}">
              <a16:creationId xmlns:a16="http://schemas.microsoft.com/office/drawing/2014/main" id="{FDF501B1-4494-4A8C-8251-B93A7E395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511" name="Picture 1">
          <a:extLst>
            <a:ext uri="{FF2B5EF4-FFF2-40B4-BE49-F238E27FC236}">
              <a16:creationId xmlns:a16="http://schemas.microsoft.com/office/drawing/2014/main" id="{5FEF3887-0EEA-4C1C-A9F4-0B39D36F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512" name="Picture 1">
          <a:extLst>
            <a:ext uri="{FF2B5EF4-FFF2-40B4-BE49-F238E27FC236}">
              <a16:creationId xmlns:a16="http://schemas.microsoft.com/office/drawing/2014/main" id="{A601E3DC-5879-4C89-B9A1-A6F6F4419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513" name="Picture 1">
          <a:extLst>
            <a:ext uri="{FF2B5EF4-FFF2-40B4-BE49-F238E27FC236}">
              <a16:creationId xmlns:a16="http://schemas.microsoft.com/office/drawing/2014/main" id="{BEE106BF-4AD5-4B02-97DC-CC4C68CD0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514" name="Picture 1">
          <a:extLst>
            <a:ext uri="{FF2B5EF4-FFF2-40B4-BE49-F238E27FC236}">
              <a16:creationId xmlns:a16="http://schemas.microsoft.com/office/drawing/2014/main" id="{7A0E150E-4AB5-4535-899E-8DE4C6B5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515" name="Picture 1">
          <a:extLst>
            <a:ext uri="{FF2B5EF4-FFF2-40B4-BE49-F238E27FC236}">
              <a16:creationId xmlns:a16="http://schemas.microsoft.com/office/drawing/2014/main" id="{634022EC-5E44-467E-8C64-B4510C34E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516" name="Picture 1">
          <a:extLst>
            <a:ext uri="{FF2B5EF4-FFF2-40B4-BE49-F238E27FC236}">
              <a16:creationId xmlns:a16="http://schemas.microsoft.com/office/drawing/2014/main" id="{379C57EF-EE59-41BF-A7E9-649C87D5E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517" name="Picture 1">
          <a:extLst>
            <a:ext uri="{FF2B5EF4-FFF2-40B4-BE49-F238E27FC236}">
              <a16:creationId xmlns:a16="http://schemas.microsoft.com/office/drawing/2014/main" id="{29B1BD1F-79B4-436B-BD39-DB3C1CA42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518" name="Picture 1">
          <a:extLst>
            <a:ext uri="{FF2B5EF4-FFF2-40B4-BE49-F238E27FC236}">
              <a16:creationId xmlns:a16="http://schemas.microsoft.com/office/drawing/2014/main" id="{AB67C2B1-66CA-4517-9A20-068D924ED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519" name="Picture 1">
          <a:extLst>
            <a:ext uri="{FF2B5EF4-FFF2-40B4-BE49-F238E27FC236}">
              <a16:creationId xmlns:a16="http://schemas.microsoft.com/office/drawing/2014/main" id="{73F92B4B-D33D-4E2D-B057-51B7BB56A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520" name="Picture 1">
          <a:extLst>
            <a:ext uri="{FF2B5EF4-FFF2-40B4-BE49-F238E27FC236}">
              <a16:creationId xmlns:a16="http://schemas.microsoft.com/office/drawing/2014/main" id="{88C79EF5-F4A7-4024-B88F-E2EA5D7F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521" name="Picture 1">
          <a:extLst>
            <a:ext uri="{FF2B5EF4-FFF2-40B4-BE49-F238E27FC236}">
              <a16:creationId xmlns:a16="http://schemas.microsoft.com/office/drawing/2014/main" id="{AB861A94-0370-4A28-B5C9-90B78B74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522" name="Picture 1">
          <a:extLst>
            <a:ext uri="{FF2B5EF4-FFF2-40B4-BE49-F238E27FC236}">
              <a16:creationId xmlns:a16="http://schemas.microsoft.com/office/drawing/2014/main" id="{4DFBC19F-9847-44FC-A219-095EB34F9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523" name="Picture 1">
          <a:extLst>
            <a:ext uri="{FF2B5EF4-FFF2-40B4-BE49-F238E27FC236}">
              <a16:creationId xmlns:a16="http://schemas.microsoft.com/office/drawing/2014/main" id="{17C53124-3DDD-4E8B-AA44-0087E0F6E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524" name="Picture 1">
          <a:extLst>
            <a:ext uri="{FF2B5EF4-FFF2-40B4-BE49-F238E27FC236}">
              <a16:creationId xmlns:a16="http://schemas.microsoft.com/office/drawing/2014/main" id="{0AB420B8-5024-4DDC-A453-67FFA5426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525" name="Picture 1">
          <a:extLst>
            <a:ext uri="{FF2B5EF4-FFF2-40B4-BE49-F238E27FC236}">
              <a16:creationId xmlns:a16="http://schemas.microsoft.com/office/drawing/2014/main" id="{47747011-6F3E-4343-9886-D20F5FD3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526" name="Picture 1">
          <a:extLst>
            <a:ext uri="{FF2B5EF4-FFF2-40B4-BE49-F238E27FC236}">
              <a16:creationId xmlns:a16="http://schemas.microsoft.com/office/drawing/2014/main" id="{CB286695-F0FE-454E-B0BF-8DC20B0D8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527" name="Picture 1">
          <a:extLst>
            <a:ext uri="{FF2B5EF4-FFF2-40B4-BE49-F238E27FC236}">
              <a16:creationId xmlns:a16="http://schemas.microsoft.com/office/drawing/2014/main" id="{A93FFE90-B44E-403F-9138-8DF08CABC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528" name="Picture 1">
          <a:extLst>
            <a:ext uri="{FF2B5EF4-FFF2-40B4-BE49-F238E27FC236}">
              <a16:creationId xmlns:a16="http://schemas.microsoft.com/office/drawing/2014/main" id="{DBAB06A2-1B07-438A-8B5E-CC9F25C20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529" name="Picture 1">
          <a:extLst>
            <a:ext uri="{FF2B5EF4-FFF2-40B4-BE49-F238E27FC236}">
              <a16:creationId xmlns:a16="http://schemas.microsoft.com/office/drawing/2014/main" id="{FA41870D-E0E0-4A82-A58F-5E1D959F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530" name="Picture 1">
          <a:extLst>
            <a:ext uri="{FF2B5EF4-FFF2-40B4-BE49-F238E27FC236}">
              <a16:creationId xmlns:a16="http://schemas.microsoft.com/office/drawing/2014/main" id="{FAD2633B-1F31-4866-91CF-1F2BFCF74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531" name="Picture 1">
          <a:extLst>
            <a:ext uri="{FF2B5EF4-FFF2-40B4-BE49-F238E27FC236}">
              <a16:creationId xmlns:a16="http://schemas.microsoft.com/office/drawing/2014/main" id="{F73D3882-755D-47CF-85CC-2B58530EE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532" name="Picture 1">
          <a:extLst>
            <a:ext uri="{FF2B5EF4-FFF2-40B4-BE49-F238E27FC236}">
              <a16:creationId xmlns:a16="http://schemas.microsoft.com/office/drawing/2014/main" id="{F590C71D-0AE2-4837-A9AF-98914E0E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533" name="Picture 1">
          <a:extLst>
            <a:ext uri="{FF2B5EF4-FFF2-40B4-BE49-F238E27FC236}">
              <a16:creationId xmlns:a16="http://schemas.microsoft.com/office/drawing/2014/main" id="{4046A8A9-3DF2-4F45-9FA0-106D0FC74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534" name="Picture 1">
          <a:extLst>
            <a:ext uri="{FF2B5EF4-FFF2-40B4-BE49-F238E27FC236}">
              <a16:creationId xmlns:a16="http://schemas.microsoft.com/office/drawing/2014/main" id="{2226D5BE-8149-4CB8-BDCE-AEF8C46D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535" name="Picture 1">
          <a:extLst>
            <a:ext uri="{FF2B5EF4-FFF2-40B4-BE49-F238E27FC236}">
              <a16:creationId xmlns:a16="http://schemas.microsoft.com/office/drawing/2014/main" id="{D3569590-A432-4819-A0A7-1EEA97887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536" name="Picture 1">
          <a:extLst>
            <a:ext uri="{FF2B5EF4-FFF2-40B4-BE49-F238E27FC236}">
              <a16:creationId xmlns:a16="http://schemas.microsoft.com/office/drawing/2014/main" id="{4484F8CF-FAF2-4069-A6BF-844C90335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537" name="Picture 1">
          <a:extLst>
            <a:ext uri="{FF2B5EF4-FFF2-40B4-BE49-F238E27FC236}">
              <a16:creationId xmlns:a16="http://schemas.microsoft.com/office/drawing/2014/main" id="{A60322F1-7EC5-4595-9323-66C04B3FE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538" name="Picture 1">
          <a:extLst>
            <a:ext uri="{FF2B5EF4-FFF2-40B4-BE49-F238E27FC236}">
              <a16:creationId xmlns:a16="http://schemas.microsoft.com/office/drawing/2014/main" id="{775D0C20-CDC4-443A-AB32-4E17595B0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539" name="Picture 1">
          <a:extLst>
            <a:ext uri="{FF2B5EF4-FFF2-40B4-BE49-F238E27FC236}">
              <a16:creationId xmlns:a16="http://schemas.microsoft.com/office/drawing/2014/main" id="{F4D154B6-9B55-412C-BC5C-DC80B3693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0" name="Picture 1">
          <a:extLst>
            <a:ext uri="{FF2B5EF4-FFF2-40B4-BE49-F238E27FC236}">
              <a16:creationId xmlns:a16="http://schemas.microsoft.com/office/drawing/2014/main" id="{3D2120B4-7659-4C82-AC46-1C287D6A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1" name="Picture 1">
          <a:extLst>
            <a:ext uri="{FF2B5EF4-FFF2-40B4-BE49-F238E27FC236}">
              <a16:creationId xmlns:a16="http://schemas.microsoft.com/office/drawing/2014/main" id="{A6B986DF-014C-4E56-815E-7FA29FF1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2" name="Picture 1">
          <a:extLst>
            <a:ext uri="{FF2B5EF4-FFF2-40B4-BE49-F238E27FC236}">
              <a16:creationId xmlns:a16="http://schemas.microsoft.com/office/drawing/2014/main" id="{107CE4E4-3DAD-4F37-B55D-0454977F2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3" name="Picture 1">
          <a:extLst>
            <a:ext uri="{FF2B5EF4-FFF2-40B4-BE49-F238E27FC236}">
              <a16:creationId xmlns:a16="http://schemas.microsoft.com/office/drawing/2014/main" id="{4EB8D7A3-9247-4542-8F08-3C5EE7774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4" name="Picture 1">
          <a:extLst>
            <a:ext uri="{FF2B5EF4-FFF2-40B4-BE49-F238E27FC236}">
              <a16:creationId xmlns:a16="http://schemas.microsoft.com/office/drawing/2014/main" id="{ABAF6A9A-8C9F-4291-9C1D-3953C1A7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5" name="Picture 1">
          <a:extLst>
            <a:ext uri="{FF2B5EF4-FFF2-40B4-BE49-F238E27FC236}">
              <a16:creationId xmlns:a16="http://schemas.microsoft.com/office/drawing/2014/main" id="{A3986864-FDD4-4A64-9CF8-C6C5370F1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546" name="Picture 1">
          <a:extLst>
            <a:ext uri="{FF2B5EF4-FFF2-40B4-BE49-F238E27FC236}">
              <a16:creationId xmlns:a16="http://schemas.microsoft.com/office/drawing/2014/main" id="{D2B6BBA2-42E6-4051-8BEA-149FEFCC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47" name="Picture 1">
          <a:extLst>
            <a:ext uri="{FF2B5EF4-FFF2-40B4-BE49-F238E27FC236}">
              <a16:creationId xmlns:a16="http://schemas.microsoft.com/office/drawing/2014/main" id="{BE529E0A-9352-42E1-B7A2-93B1E734C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48" name="Picture 1">
          <a:extLst>
            <a:ext uri="{FF2B5EF4-FFF2-40B4-BE49-F238E27FC236}">
              <a16:creationId xmlns:a16="http://schemas.microsoft.com/office/drawing/2014/main" id="{7F18A579-4BEB-4E67-BDA0-7A5D5F596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49" name="Picture 1">
          <a:extLst>
            <a:ext uri="{FF2B5EF4-FFF2-40B4-BE49-F238E27FC236}">
              <a16:creationId xmlns:a16="http://schemas.microsoft.com/office/drawing/2014/main" id="{86D8DCE2-C390-4994-B04C-8E3D0E3A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50" name="Picture 1">
          <a:extLst>
            <a:ext uri="{FF2B5EF4-FFF2-40B4-BE49-F238E27FC236}">
              <a16:creationId xmlns:a16="http://schemas.microsoft.com/office/drawing/2014/main" id="{E332A6E7-3FBC-49F4-A5C7-DD60FAD90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51" name="Picture 1">
          <a:extLst>
            <a:ext uri="{FF2B5EF4-FFF2-40B4-BE49-F238E27FC236}">
              <a16:creationId xmlns:a16="http://schemas.microsoft.com/office/drawing/2014/main" id="{B2995C07-C550-4806-9B77-66C3881BC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52" name="Picture 1">
          <a:extLst>
            <a:ext uri="{FF2B5EF4-FFF2-40B4-BE49-F238E27FC236}">
              <a16:creationId xmlns:a16="http://schemas.microsoft.com/office/drawing/2014/main" id="{ABAA27B0-67D9-47CF-B168-E3395E4E4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553" name="Picture 1">
          <a:extLst>
            <a:ext uri="{FF2B5EF4-FFF2-40B4-BE49-F238E27FC236}">
              <a16:creationId xmlns:a16="http://schemas.microsoft.com/office/drawing/2014/main" id="{8277C5BF-1F2E-47B1-A4A4-ED7EA7323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4" name="Picture 1">
          <a:extLst>
            <a:ext uri="{FF2B5EF4-FFF2-40B4-BE49-F238E27FC236}">
              <a16:creationId xmlns:a16="http://schemas.microsoft.com/office/drawing/2014/main" id="{74CF0600-D917-4632-BAE2-D31E6B0EF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5" name="Picture 1">
          <a:extLst>
            <a:ext uri="{FF2B5EF4-FFF2-40B4-BE49-F238E27FC236}">
              <a16:creationId xmlns:a16="http://schemas.microsoft.com/office/drawing/2014/main" id="{34073FE8-8AD9-41B8-9D6A-B864A6C5A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6" name="Picture 1">
          <a:extLst>
            <a:ext uri="{FF2B5EF4-FFF2-40B4-BE49-F238E27FC236}">
              <a16:creationId xmlns:a16="http://schemas.microsoft.com/office/drawing/2014/main" id="{80A0372D-53DC-43AF-885E-CAD8422FC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7" name="Picture 1">
          <a:extLst>
            <a:ext uri="{FF2B5EF4-FFF2-40B4-BE49-F238E27FC236}">
              <a16:creationId xmlns:a16="http://schemas.microsoft.com/office/drawing/2014/main" id="{B8D55415-6285-4202-B2E5-8760BBAD2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8" name="Picture 1">
          <a:extLst>
            <a:ext uri="{FF2B5EF4-FFF2-40B4-BE49-F238E27FC236}">
              <a16:creationId xmlns:a16="http://schemas.microsoft.com/office/drawing/2014/main" id="{6787740F-0BBB-45AC-ABE7-877C3338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59" name="Picture 1">
          <a:extLst>
            <a:ext uri="{FF2B5EF4-FFF2-40B4-BE49-F238E27FC236}">
              <a16:creationId xmlns:a16="http://schemas.microsoft.com/office/drawing/2014/main" id="{61A595EB-705C-4523-9378-29EE1834C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560" name="Picture 1">
          <a:extLst>
            <a:ext uri="{FF2B5EF4-FFF2-40B4-BE49-F238E27FC236}">
              <a16:creationId xmlns:a16="http://schemas.microsoft.com/office/drawing/2014/main" id="{05197EA9-D4DB-4DD9-9700-0FD9CBF2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1" name="Picture 1">
          <a:extLst>
            <a:ext uri="{FF2B5EF4-FFF2-40B4-BE49-F238E27FC236}">
              <a16:creationId xmlns:a16="http://schemas.microsoft.com/office/drawing/2014/main" id="{061991B8-1259-4FD6-85C9-BDDB5052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2" name="Picture 1">
          <a:extLst>
            <a:ext uri="{FF2B5EF4-FFF2-40B4-BE49-F238E27FC236}">
              <a16:creationId xmlns:a16="http://schemas.microsoft.com/office/drawing/2014/main" id="{618169E6-0BA0-4432-B01B-A513A84E7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3" name="Picture 1">
          <a:extLst>
            <a:ext uri="{FF2B5EF4-FFF2-40B4-BE49-F238E27FC236}">
              <a16:creationId xmlns:a16="http://schemas.microsoft.com/office/drawing/2014/main" id="{1FDE2C48-0763-4CE3-A638-A61FDC3B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4" name="Picture 1">
          <a:extLst>
            <a:ext uri="{FF2B5EF4-FFF2-40B4-BE49-F238E27FC236}">
              <a16:creationId xmlns:a16="http://schemas.microsoft.com/office/drawing/2014/main" id="{4C8515C3-198C-454F-AB75-C44AF16A4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5" name="Picture 1">
          <a:extLst>
            <a:ext uri="{FF2B5EF4-FFF2-40B4-BE49-F238E27FC236}">
              <a16:creationId xmlns:a16="http://schemas.microsoft.com/office/drawing/2014/main" id="{BE4FA87C-09C9-4F74-BCD3-EACFCE1F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6" name="Picture 1">
          <a:extLst>
            <a:ext uri="{FF2B5EF4-FFF2-40B4-BE49-F238E27FC236}">
              <a16:creationId xmlns:a16="http://schemas.microsoft.com/office/drawing/2014/main" id="{8A9086FB-2AAE-4A86-A604-25703DBDC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567" name="Picture 1">
          <a:extLst>
            <a:ext uri="{FF2B5EF4-FFF2-40B4-BE49-F238E27FC236}">
              <a16:creationId xmlns:a16="http://schemas.microsoft.com/office/drawing/2014/main" id="{D49100BF-2E84-4466-AC68-D0471AF11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68" name="Picture 1">
          <a:extLst>
            <a:ext uri="{FF2B5EF4-FFF2-40B4-BE49-F238E27FC236}">
              <a16:creationId xmlns:a16="http://schemas.microsoft.com/office/drawing/2014/main" id="{C9ED7CC1-2A87-4CE3-A55F-99A584F3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69" name="Picture 1">
          <a:extLst>
            <a:ext uri="{FF2B5EF4-FFF2-40B4-BE49-F238E27FC236}">
              <a16:creationId xmlns:a16="http://schemas.microsoft.com/office/drawing/2014/main" id="{7CC948F5-853E-4827-BAD2-5224720CE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70" name="Picture 1">
          <a:extLst>
            <a:ext uri="{FF2B5EF4-FFF2-40B4-BE49-F238E27FC236}">
              <a16:creationId xmlns:a16="http://schemas.microsoft.com/office/drawing/2014/main" id="{D7405D2A-CFCD-469A-B7CF-AA2797932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71" name="Picture 1">
          <a:extLst>
            <a:ext uri="{FF2B5EF4-FFF2-40B4-BE49-F238E27FC236}">
              <a16:creationId xmlns:a16="http://schemas.microsoft.com/office/drawing/2014/main" id="{814A9372-D0D9-4E51-BC96-662729D7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72" name="Picture 1">
          <a:extLst>
            <a:ext uri="{FF2B5EF4-FFF2-40B4-BE49-F238E27FC236}">
              <a16:creationId xmlns:a16="http://schemas.microsoft.com/office/drawing/2014/main" id="{51D2CCAC-58B6-40CC-81D2-D323F8E3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73" name="Picture 1">
          <a:extLst>
            <a:ext uri="{FF2B5EF4-FFF2-40B4-BE49-F238E27FC236}">
              <a16:creationId xmlns:a16="http://schemas.microsoft.com/office/drawing/2014/main" id="{8DE60CE9-E665-4D48-9F77-E0C9BE348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574" name="Picture 1">
          <a:extLst>
            <a:ext uri="{FF2B5EF4-FFF2-40B4-BE49-F238E27FC236}">
              <a16:creationId xmlns:a16="http://schemas.microsoft.com/office/drawing/2014/main" id="{DAF27BFD-8466-446C-B57B-755750F35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75" name="Picture 1">
          <a:extLst>
            <a:ext uri="{FF2B5EF4-FFF2-40B4-BE49-F238E27FC236}">
              <a16:creationId xmlns:a16="http://schemas.microsoft.com/office/drawing/2014/main" id="{392EEA7E-DDC9-41E5-BB71-7C5EAAF7E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76" name="Picture 1">
          <a:extLst>
            <a:ext uri="{FF2B5EF4-FFF2-40B4-BE49-F238E27FC236}">
              <a16:creationId xmlns:a16="http://schemas.microsoft.com/office/drawing/2014/main" id="{2E1D052E-E69C-4BF8-AF71-1839A1EAC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77" name="Picture 1">
          <a:extLst>
            <a:ext uri="{FF2B5EF4-FFF2-40B4-BE49-F238E27FC236}">
              <a16:creationId xmlns:a16="http://schemas.microsoft.com/office/drawing/2014/main" id="{8103D995-D2AD-4EA1-8F60-DB2A9DC78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78" name="Picture 1">
          <a:extLst>
            <a:ext uri="{FF2B5EF4-FFF2-40B4-BE49-F238E27FC236}">
              <a16:creationId xmlns:a16="http://schemas.microsoft.com/office/drawing/2014/main" id="{BF7B77A7-7556-4553-A7CC-8C335C7F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79" name="Picture 1">
          <a:extLst>
            <a:ext uri="{FF2B5EF4-FFF2-40B4-BE49-F238E27FC236}">
              <a16:creationId xmlns:a16="http://schemas.microsoft.com/office/drawing/2014/main" id="{C71560E4-2607-492B-83AA-008D28C7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80" name="Picture 1">
          <a:extLst>
            <a:ext uri="{FF2B5EF4-FFF2-40B4-BE49-F238E27FC236}">
              <a16:creationId xmlns:a16="http://schemas.microsoft.com/office/drawing/2014/main" id="{E41C509D-035B-4676-82E3-EDDE23403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581" name="Picture 1">
          <a:extLst>
            <a:ext uri="{FF2B5EF4-FFF2-40B4-BE49-F238E27FC236}">
              <a16:creationId xmlns:a16="http://schemas.microsoft.com/office/drawing/2014/main" id="{F18B83C4-CE6C-4E43-BEC9-546C87D64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2" name="Picture 1">
          <a:extLst>
            <a:ext uri="{FF2B5EF4-FFF2-40B4-BE49-F238E27FC236}">
              <a16:creationId xmlns:a16="http://schemas.microsoft.com/office/drawing/2014/main" id="{9B62EBD1-BCDE-4B1E-B3B9-2619E341F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3" name="Picture 1">
          <a:extLst>
            <a:ext uri="{FF2B5EF4-FFF2-40B4-BE49-F238E27FC236}">
              <a16:creationId xmlns:a16="http://schemas.microsoft.com/office/drawing/2014/main" id="{BC7ACB83-8A33-4C9C-9571-CA9658341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4" name="Picture 1">
          <a:extLst>
            <a:ext uri="{FF2B5EF4-FFF2-40B4-BE49-F238E27FC236}">
              <a16:creationId xmlns:a16="http://schemas.microsoft.com/office/drawing/2014/main" id="{C5660714-D0F7-42B7-824F-5978AC9E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5" name="Picture 1">
          <a:extLst>
            <a:ext uri="{FF2B5EF4-FFF2-40B4-BE49-F238E27FC236}">
              <a16:creationId xmlns:a16="http://schemas.microsoft.com/office/drawing/2014/main" id="{70B3D442-6E83-4ABF-A14A-9A10DED83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6" name="Picture 1">
          <a:extLst>
            <a:ext uri="{FF2B5EF4-FFF2-40B4-BE49-F238E27FC236}">
              <a16:creationId xmlns:a16="http://schemas.microsoft.com/office/drawing/2014/main" id="{DFCB58B5-A181-44D3-94F3-5F6866CA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587" name="Picture 1">
          <a:extLst>
            <a:ext uri="{FF2B5EF4-FFF2-40B4-BE49-F238E27FC236}">
              <a16:creationId xmlns:a16="http://schemas.microsoft.com/office/drawing/2014/main" id="{C0DC257F-851D-4AB6-96BE-CDE582B02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88" name="Picture 1">
          <a:extLst>
            <a:ext uri="{FF2B5EF4-FFF2-40B4-BE49-F238E27FC236}">
              <a16:creationId xmlns:a16="http://schemas.microsoft.com/office/drawing/2014/main" id="{E3B54825-27DC-49A0-ABC8-C4C0070B7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89" name="Picture 1">
          <a:extLst>
            <a:ext uri="{FF2B5EF4-FFF2-40B4-BE49-F238E27FC236}">
              <a16:creationId xmlns:a16="http://schemas.microsoft.com/office/drawing/2014/main" id="{72E98738-5033-463F-90CE-0BA0188D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0" name="Picture 1">
          <a:extLst>
            <a:ext uri="{FF2B5EF4-FFF2-40B4-BE49-F238E27FC236}">
              <a16:creationId xmlns:a16="http://schemas.microsoft.com/office/drawing/2014/main" id="{2F23D4C7-9CF8-47D5-AD8D-BBD00DDEA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1" name="Picture 1">
          <a:extLst>
            <a:ext uri="{FF2B5EF4-FFF2-40B4-BE49-F238E27FC236}">
              <a16:creationId xmlns:a16="http://schemas.microsoft.com/office/drawing/2014/main" id="{DE671C89-A365-4161-AFC3-722988960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2" name="Picture 1">
          <a:extLst>
            <a:ext uri="{FF2B5EF4-FFF2-40B4-BE49-F238E27FC236}">
              <a16:creationId xmlns:a16="http://schemas.microsoft.com/office/drawing/2014/main" id="{63AEEF64-A64C-402A-8B38-ECFA7AAC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3" name="Picture 1">
          <a:extLst>
            <a:ext uri="{FF2B5EF4-FFF2-40B4-BE49-F238E27FC236}">
              <a16:creationId xmlns:a16="http://schemas.microsoft.com/office/drawing/2014/main" id="{721664A1-DAB3-430C-A36E-93E52779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4" name="Picture 1">
          <a:extLst>
            <a:ext uri="{FF2B5EF4-FFF2-40B4-BE49-F238E27FC236}">
              <a16:creationId xmlns:a16="http://schemas.microsoft.com/office/drawing/2014/main" id="{EE1134FD-94C9-418A-A4D1-830AC4C20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595" name="Picture 1">
          <a:extLst>
            <a:ext uri="{FF2B5EF4-FFF2-40B4-BE49-F238E27FC236}">
              <a16:creationId xmlns:a16="http://schemas.microsoft.com/office/drawing/2014/main" id="{1841843D-5CFE-499C-9CF8-6493BD1C0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596" name="Picture 1">
          <a:extLst>
            <a:ext uri="{FF2B5EF4-FFF2-40B4-BE49-F238E27FC236}">
              <a16:creationId xmlns:a16="http://schemas.microsoft.com/office/drawing/2014/main" id="{6DBC4FC6-08DB-4AEA-9A0E-78BE82352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597" name="Picture 1">
          <a:extLst>
            <a:ext uri="{FF2B5EF4-FFF2-40B4-BE49-F238E27FC236}">
              <a16:creationId xmlns:a16="http://schemas.microsoft.com/office/drawing/2014/main" id="{FD357712-1A86-4DC8-BBBA-FCE21F0E6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598" name="Picture 1">
          <a:extLst>
            <a:ext uri="{FF2B5EF4-FFF2-40B4-BE49-F238E27FC236}">
              <a16:creationId xmlns:a16="http://schemas.microsoft.com/office/drawing/2014/main" id="{F8BFD99F-9DA6-4B02-AD02-48EB3B23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599" name="Picture 1">
          <a:extLst>
            <a:ext uri="{FF2B5EF4-FFF2-40B4-BE49-F238E27FC236}">
              <a16:creationId xmlns:a16="http://schemas.microsoft.com/office/drawing/2014/main" id="{935D0247-8113-48BA-AFFB-A9BC1A08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600" name="Picture 1">
          <a:extLst>
            <a:ext uri="{FF2B5EF4-FFF2-40B4-BE49-F238E27FC236}">
              <a16:creationId xmlns:a16="http://schemas.microsoft.com/office/drawing/2014/main" id="{1785A2A0-0168-429B-A3F9-6DD30524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601" name="Picture 1">
          <a:extLst>
            <a:ext uri="{FF2B5EF4-FFF2-40B4-BE49-F238E27FC236}">
              <a16:creationId xmlns:a16="http://schemas.microsoft.com/office/drawing/2014/main" id="{734BAF36-FD17-4200-ABF8-257AC713C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602" name="Picture 1">
          <a:extLst>
            <a:ext uri="{FF2B5EF4-FFF2-40B4-BE49-F238E27FC236}">
              <a16:creationId xmlns:a16="http://schemas.microsoft.com/office/drawing/2014/main" id="{F424536B-0B1C-4889-839C-F8B625CE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603" name="Picture 1">
          <a:extLst>
            <a:ext uri="{FF2B5EF4-FFF2-40B4-BE49-F238E27FC236}">
              <a16:creationId xmlns:a16="http://schemas.microsoft.com/office/drawing/2014/main" id="{54EA089C-EB8E-46CF-BC81-2C503DE0F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604" name="Picture 1">
          <a:extLst>
            <a:ext uri="{FF2B5EF4-FFF2-40B4-BE49-F238E27FC236}">
              <a16:creationId xmlns:a16="http://schemas.microsoft.com/office/drawing/2014/main" id="{DDA5774A-BBDA-46E6-901B-4D46E7E84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605" name="Picture 1">
          <a:extLst>
            <a:ext uri="{FF2B5EF4-FFF2-40B4-BE49-F238E27FC236}">
              <a16:creationId xmlns:a16="http://schemas.microsoft.com/office/drawing/2014/main" id="{F3D25E9F-A07E-4E18-BEAC-CDE30C3B2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606" name="Picture 1">
          <a:extLst>
            <a:ext uri="{FF2B5EF4-FFF2-40B4-BE49-F238E27FC236}">
              <a16:creationId xmlns:a16="http://schemas.microsoft.com/office/drawing/2014/main" id="{C5B9C9CB-BB4C-4076-92CE-239A9F14F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607" name="Picture 1">
          <a:extLst>
            <a:ext uri="{FF2B5EF4-FFF2-40B4-BE49-F238E27FC236}">
              <a16:creationId xmlns:a16="http://schemas.microsoft.com/office/drawing/2014/main" id="{30FCC374-9073-400B-8F93-593D0AEC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08" name="Picture 1">
          <a:extLst>
            <a:ext uri="{FF2B5EF4-FFF2-40B4-BE49-F238E27FC236}">
              <a16:creationId xmlns:a16="http://schemas.microsoft.com/office/drawing/2014/main" id="{C5D6B4A1-C341-4363-8548-E2223AF70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09" name="Picture 1">
          <a:extLst>
            <a:ext uri="{FF2B5EF4-FFF2-40B4-BE49-F238E27FC236}">
              <a16:creationId xmlns:a16="http://schemas.microsoft.com/office/drawing/2014/main" id="{0B680502-059F-4241-B7C4-12FBF6A98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0" name="Picture 1">
          <a:extLst>
            <a:ext uri="{FF2B5EF4-FFF2-40B4-BE49-F238E27FC236}">
              <a16:creationId xmlns:a16="http://schemas.microsoft.com/office/drawing/2014/main" id="{D955857C-1CB9-44F9-B958-6D7CDD3D4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1" name="Picture 1">
          <a:extLst>
            <a:ext uri="{FF2B5EF4-FFF2-40B4-BE49-F238E27FC236}">
              <a16:creationId xmlns:a16="http://schemas.microsoft.com/office/drawing/2014/main" id="{A7BBF1E1-158E-4B01-AF07-BEED3BF9D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2" name="Picture 1">
          <a:extLst>
            <a:ext uri="{FF2B5EF4-FFF2-40B4-BE49-F238E27FC236}">
              <a16:creationId xmlns:a16="http://schemas.microsoft.com/office/drawing/2014/main" id="{A21D3767-08A4-4496-AF08-D172627C2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3" name="Picture 1">
          <a:extLst>
            <a:ext uri="{FF2B5EF4-FFF2-40B4-BE49-F238E27FC236}">
              <a16:creationId xmlns:a16="http://schemas.microsoft.com/office/drawing/2014/main" id="{F7C881EE-C840-49E2-8DFF-0291C201E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4" name="Picture 1">
          <a:extLst>
            <a:ext uri="{FF2B5EF4-FFF2-40B4-BE49-F238E27FC236}">
              <a16:creationId xmlns:a16="http://schemas.microsoft.com/office/drawing/2014/main" id="{9F979436-2B62-4F4D-82D9-6116D18F5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615" name="Picture 1">
          <a:extLst>
            <a:ext uri="{FF2B5EF4-FFF2-40B4-BE49-F238E27FC236}">
              <a16:creationId xmlns:a16="http://schemas.microsoft.com/office/drawing/2014/main" id="{113C4D8F-B734-48C3-A0A3-96082287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16" name="Picture 1">
          <a:extLst>
            <a:ext uri="{FF2B5EF4-FFF2-40B4-BE49-F238E27FC236}">
              <a16:creationId xmlns:a16="http://schemas.microsoft.com/office/drawing/2014/main" id="{D4A2D877-59B6-4D31-B2B9-04303B072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17" name="Picture 1">
          <a:extLst>
            <a:ext uri="{FF2B5EF4-FFF2-40B4-BE49-F238E27FC236}">
              <a16:creationId xmlns:a16="http://schemas.microsoft.com/office/drawing/2014/main" id="{30DBADDE-CC7D-4FCA-8A36-B5387790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18" name="Picture 1">
          <a:extLst>
            <a:ext uri="{FF2B5EF4-FFF2-40B4-BE49-F238E27FC236}">
              <a16:creationId xmlns:a16="http://schemas.microsoft.com/office/drawing/2014/main" id="{5977853C-F111-4419-8DD3-229B679AE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19" name="Picture 1">
          <a:extLst>
            <a:ext uri="{FF2B5EF4-FFF2-40B4-BE49-F238E27FC236}">
              <a16:creationId xmlns:a16="http://schemas.microsoft.com/office/drawing/2014/main" id="{C8D6E389-E224-4D3F-8F4F-61852632E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20" name="Picture 1">
          <a:extLst>
            <a:ext uri="{FF2B5EF4-FFF2-40B4-BE49-F238E27FC236}">
              <a16:creationId xmlns:a16="http://schemas.microsoft.com/office/drawing/2014/main" id="{1A1A2502-716C-454E-AA34-3D0C00DDF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21" name="Picture 1">
          <a:extLst>
            <a:ext uri="{FF2B5EF4-FFF2-40B4-BE49-F238E27FC236}">
              <a16:creationId xmlns:a16="http://schemas.microsoft.com/office/drawing/2014/main" id="{6C63C4B0-6463-403D-A19C-F645436B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22" name="Picture 1">
          <a:extLst>
            <a:ext uri="{FF2B5EF4-FFF2-40B4-BE49-F238E27FC236}">
              <a16:creationId xmlns:a16="http://schemas.microsoft.com/office/drawing/2014/main" id="{2265B886-0337-443C-A136-EA6FAB245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623" name="Picture 1">
          <a:extLst>
            <a:ext uri="{FF2B5EF4-FFF2-40B4-BE49-F238E27FC236}">
              <a16:creationId xmlns:a16="http://schemas.microsoft.com/office/drawing/2014/main" id="{3D690FAD-DE50-40C8-9009-0E78437B0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4" name="Picture 1">
          <a:extLst>
            <a:ext uri="{FF2B5EF4-FFF2-40B4-BE49-F238E27FC236}">
              <a16:creationId xmlns:a16="http://schemas.microsoft.com/office/drawing/2014/main" id="{3ECAF235-4371-457B-9D0C-1DFF64E58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5" name="Picture 1">
          <a:extLst>
            <a:ext uri="{FF2B5EF4-FFF2-40B4-BE49-F238E27FC236}">
              <a16:creationId xmlns:a16="http://schemas.microsoft.com/office/drawing/2014/main" id="{A9E734C5-6263-4224-B012-AE80C4C8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6" name="Picture 1">
          <a:extLst>
            <a:ext uri="{FF2B5EF4-FFF2-40B4-BE49-F238E27FC236}">
              <a16:creationId xmlns:a16="http://schemas.microsoft.com/office/drawing/2014/main" id="{DF51CBF2-2791-4C59-A020-5EFCF444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7" name="Picture 1">
          <a:extLst>
            <a:ext uri="{FF2B5EF4-FFF2-40B4-BE49-F238E27FC236}">
              <a16:creationId xmlns:a16="http://schemas.microsoft.com/office/drawing/2014/main" id="{20645CEA-6CD2-42B8-B7E7-8D85ECB6C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8" name="Picture 1">
          <a:extLst>
            <a:ext uri="{FF2B5EF4-FFF2-40B4-BE49-F238E27FC236}">
              <a16:creationId xmlns:a16="http://schemas.microsoft.com/office/drawing/2014/main" id="{30B94BFE-8BC1-4EF1-9AAD-08C50CFAF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29" name="Picture 1">
          <a:extLst>
            <a:ext uri="{FF2B5EF4-FFF2-40B4-BE49-F238E27FC236}">
              <a16:creationId xmlns:a16="http://schemas.microsoft.com/office/drawing/2014/main" id="{8E2AC4BA-FD3B-4AAC-B0E4-6EF8F8A6A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30" name="Picture 1">
          <a:extLst>
            <a:ext uri="{FF2B5EF4-FFF2-40B4-BE49-F238E27FC236}">
              <a16:creationId xmlns:a16="http://schemas.microsoft.com/office/drawing/2014/main" id="{65CAA9DD-C0E9-45A3-9229-DF51F484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631" name="Picture 1">
          <a:extLst>
            <a:ext uri="{FF2B5EF4-FFF2-40B4-BE49-F238E27FC236}">
              <a16:creationId xmlns:a16="http://schemas.microsoft.com/office/drawing/2014/main" id="{AE946371-B702-4B43-983A-A4E1C8421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2" name="Picture 1">
          <a:extLst>
            <a:ext uri="{FF2B5EF4-FFF2-40B4-BE49-F238E27FC236}">
              <a16:creationId xmlns:a16="http://schemas.microsoft.com/office/drawing/2014/main" id="{9DCEE764-607E-4EC8-8F69-969A64CF5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3" name="Picture 1">
          <a:extLst>
            <a:ext uri="{FF2B5EF4-FFF2-40B4-BE49-F238E27FC236}">
              <a16:creationId xmlns:a16="http://schemas.microsoft.com/office/drawing/2014/main" id="{4D2CAA5F-7EEE-44CF-96F5-27CC1C8C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4" name="Picture 1">
          <a:extLst>
            <a:ext uri="{FF2B5EF4-FFF2-40B4-BE49-F238E27FC236}">
              <a16:creationId xmlns:a16="http://schemas.microsoft.com/office/drawing/2014/main" id="{4289D278-E444-48F8-90E6-56CD62146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5" name="Picture 1">
          <a:extLst>
            <a:ext uri="{FF2B5EF4-FFF2-40B4-BE49-F238E27FC236}">
              <a16:creationId xmlns:a16="http://schemas.microsoft.com/office/drawing/2014/main" id="{FD981463-9A28-4E28-ACBF-F6FDA36FE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6" name="Picture 1">
          <a:extLst>
            <a:ext uri="{FF2B5EF4-FFF2-40B4-BE49-F238E27FC236}">
              <a16:creationId xmlns:a16="http://schemas.microsoft.com/office/drawing/2014/main" id="{DBBFD6AF-D019-4D47-BA32-96A8FA21E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7" name="Picture 1">
          <a:extLst>
            <a:ext uri="{FF2B5EF4-FFF2-40B4-BE49-F238E27FC236}">
              <a16:creationId xmlns:a16="http://schemas.microsoft.com/office/drawing/2014/main" id="{4FE68ED3-FA44-4AC9-B0A4-EA1D7822B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8" name="Picture 1">
          <a:extLst>
            <a:ext uri="{FF2B5EF4-FFF2-40B4-BE49-F238E27FC236}">
              <a16:creationId xmlns:a16="http://schemas.microsoft.com/office/drawing/2014/main" id="{018EB64A-0D54-4651-A5A7-4CAFE1A95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639" name="Picture 1">
          <a:extLst>
            <a:ext uri="{FF2B5EF4-FFF2-40B4-BE49-F238E27FC236}">
              <a16:creationId xmlns:a16="http://schemas.microsoft.com/office/drawing/2014/main" id="{1F9A8798-C98E-4391-8FDF-518C3765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55</xdr:row>
      <xdr:rowOff>144360</xdr:rowOff>
    </xdr:from>
    <xdr:ext cx="1294920" cy="57240"/>
    <xdr:pic>
      <xdr:nvPicPr>
        <xdr:cNvPr id="640" name="Picture 1">
          <a:extLst>
            <a:ext uri="{FF2B5EF4-FFF2-40B4-BE49-F238E27FC236}">
              <a16:creationId xmlns:a16="http://schemas.microsoft.com/office/drawing/2014/main" id="{34A5635D-9A7D-480E-B521-8B2753A6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326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55</xdr:row>
      <xdr:rowOff>144360</xdr:rowOff>
    </xdr:from>
    <xdr:ext cx="1294920" cy="57240"/>
    <xdr:pic>
      <xdr:nvPicPr>
        <xdr:cNvPr id="641" name="Picture 1">
          <a:extLst>
            <a:ext uri="{FF2B5EF4-FFF2-40B4-BE49-F238E27FC236}">
              <a16:creationId xmlns:a16="http://schemas.microsoft.com/office/drawing/2014/main" id="{6CA4E8F3-9F70-4DF0-BC50-DF5FDB7D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326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642" name="Picture 1">
          <a:extLst>
            <a:ext uri="{FF2B5EF4-FFF2-40B4-BE49-F238E27FC236}">
              <a16:creationId xmlns:a16="http://schemas.microsoft.com/office/drawing/2014/main" id="{C4206754-A101-4890-BA8E-4013E592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56</xdr:row>
      <xdr:rowOff>144360</xdr:rowOff>
    </xdr:from>
    <xdr:ext cx="1294920" cy="57240"/>
    <xdr:pic>
      <xdr:nvPicPr>
        <xdr:cNvPr id="643" name="Picture 1">
          <a:extLst>
            <a:ext uri="{FF2B5EF4-FFF2-40B4-BE49-F238E27FC236}">
              <a16:creationId xmlns:a16="http://schemas.microsoft.com/office/drawing/2014/main" id="{BD0ED27A-9620-4A7B-AE92-AEBFB03F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517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644" name="Picture 1">
          <a:extLst>
            <a:ext uri="{FF2B5EF4-FFF2-40B4-BE49-F238E27FC236}">
              <a16:creationId xmlns:a16="http://schemas.microsoft.com/office/drawing/2014/main" id="{4ECEB8BE-1FA1-4850-814B-698BD5D90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57</xdr:row>
      <xdr:rowOff>144360</xdr:rowOff>
    </xdr:from>
    <xdr:ext cx="1294920" cy="57240"/>
    <xdr:pic>
      <xdr:nvPicPr>
        <xdr:cNvPr id="645" name="Picture 1">
          <a:extLst>
            <a:ext uri="{FF2B5EF4-FFF2-40B4-BE49-F238E27FC236}">
              <a16:creationId xmlns:a16="http://schemas.microsoft.com/office/drawing/2014/main" id="{512E5B7E-0BF1-4EC1-95F4-B95F2F7CC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707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646" name="Picture 1">
          <a:extLst>
            <a:ext uri="{FF2B5EF4-FFF2-40B4-BE49-F238E27FC236}">
              <a16:creationId xmlns:a16="http://schemas.microsoft.com/office/drawing/2014/main" id="{A19E5D5D-1390-4138-970B-07EE5C135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58</xdr:row>
      <xdr:rowOff>144000</xdr:rowOff>
    </xdr:from>
    <xdr:ext cx="1294920" cy="57960"/>
    <xdr:pic>
      <xdr:nvPicPr>
        <xdr:cNvPr id="647" name="Picture 1">
          <a:extLst>
            <a:ext uri="{FF2B5EF4-FFF2-40B4-BE49-F238E27FC236}">
              <a16:creationId xmlns:a16="http://schemas.microsoft.com/office/drawing/2014/main" id="{432425F8-53DB-4262-B33C-F49CE5F1B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18978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648" name="Picture 1">
          <a:extLst>
            <a:ext uri="{FF2B5EF4-FFF2-40B4-BE49-F238E27FC236}">
              <a16:creationId xmlns:a16="http://schemas.microsoft.com/office/drawing/2014/main" id="{A6DC0F78-8094-4637-BB4B-9BAF5222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59</xdr:row>
      <xdr:rowOff>144360</xdr:rowOff>
    </xdr:from>
    <xdr:ext cx="1294920" cy="57240"/>
    <xdr:pic>
      <xdr:nvPicPr>
        <xdr:cNvPr id="649" name="Picture 1">
          <a:extLst>
            <a:ext uri="{FF2B5EF4-FFF2-40B4-BE49-F238E27FC236}">
              <a16:creationId xmlns:a16="http://schemas.microsoft.com/office/drawing/2014/main" id="{112DBC31-3F94-42F9-83B1-B5B88C1EB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088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650" name="Picture 1">
          <a:extLst>
            <a:ext uri="{FF2B5EF4-FFF2-40B4-BE49-F238E27FC236}">
              <a16:creationId xmlns:a16="http://schemas.microsoft.com/office/drawing/2014/main" id="{D8A61500-B5D8-4953-A50F-037B51D30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60</xdr:row>
      <xdr:rowOff>144360</xdr:rowOff>
    </xdr:from>
    <xdr:ext cx="1294920" cy="57240"/>
    <xdr:pic>
      <xdr:nvPicPr>
        <xdr:cNvPr id="651" name="Picture 1">
          <a:extLst>
            <a:ext uri="{FF2B5EF4-FFF2-40B4-BE49-F238E27FC236}">
              <a16:creationId xmlns:a16="http://schemas.microsoft.com/office/drawing/2014/main" id="{9DE9DD8A-6871-4F80-A756-531D6EFB9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279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652" name="Picture 1">
          <a:extLst>
            <a:ext uri="{FF2B5EF4-FFF2-40B4-BE49-F238E27FC236}">
              <a16:creationId xmlns:a16="http://schemas.microsoft.com/office/drawing/2014/main" id="{3E1380BB-8B83-48FA-9191-324B02433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61</xdr:row>
      <xdr:rowOff>144000</xdr:rowOff>
    </xdr:from>
    <xdr:ext cx="1294920" cy="57960"/>
    <xdr:pic>
      <xdr:nvPicPr>
        <xdr:cNvPr id="653" name="Picture 1">
          <a:extLst>
            <a:ext uri="{FF2B5EF4-FFF2-40B4-BE49-F238E27FC236}">
              <a16:creationId xmlns:a16="http://schemas.microsoft.com/office/drawing/2014/main" id="{8D331848-D38E-4409-AB3F-8A2FD002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469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654" name="Picture 1">
          <a:extLst>
            <a:ext uri="{FF2B5EF4-FFF2-40B4-BE49-F238E27FC236}">
              <a16:creationId xmlns:a16="http://schemas.microsoft.com/office/drawing/2014/main" id="{5D25EE19-7874-4852-B3C0-E3532FF3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62</xdr:row>
      <xdr:rowOff>144360</xdr:rowOff>
    </xdr:from>
    <xdr:ext cx="1294920" cy="57240"/>
    <xdr:pic>
      <xdr:nvPicPr>
        <xdr:cNvPr id="655" name="Picture 1">
          <a:extLst>
            <a:ext uri="{FF2B5EF4-FFF2-40B4-BE49-F238E27FC236}">
              <a16:creationId xmlns:a16="http://schemas.microsoft.com/office/drawing/2014/main" id="{D1D6979E-B2C6-436F-B03D-F9B58D1F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660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656" name="Picture 1">
          <a:extLst>
            <a:ext uri="{FF2B5EF4-FFF2-40B4-BE49-F238E27FC236}">
              <a16:creationId xmlns:a16="http://schemas.microsoft.com/office/drawing/2014/main" id="{D4D4FFB7-1EA1-4437-B132-AC282AAE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63</xdr:row>
      <xdr:rowOff>144000</xdr:rowOff>
    </xdr:from>
    <xdr:ext cx="1294920" cy="57960"/>
    <xdr:pic>
      <xdr:nvPicPr>
        <xdr:cNvPr id="657" name="Picture 1">
          <a:extLst>
            <a:ext uri="{FF2B5EF4-FFF2-40B4-BE49-F238E27FC236}">
              <a16:creationId xmlns:a16="http://schemas.microsoft.com/office/drawing/2014/main" id="{78022A68-C716-48FA-BAF8-4C8EF8BA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28503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658" name="Picture 1">
          <a:extLst>
            <a:ext uri="{FF2B5EF4-FFF2-40B4-BE49-F238E27FC236}">
              <a16:creationId xmlns:a16="http://schemas.microsoft.com/office/drawing/2014/main" id="{92C15BD4-40FB-4914-BB85-C31ADC66F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64</xdr:row>
      <xdr:rowOff>144360</xdr:rowOff>
    </xdr:from>
    <xdr:ext cx="1294920" cy="57240"/>
    <xdr:pic>
      <xdr:nvPicPr>
        <xdr:cNvPr id="659" name="Picture 1">
          <a:extLst>
            <a:ext uri="{FF2B5EF4-FFF2-40B4-BE49-F238E27FC236}">
              <a16:creationId xmlns:a16="http://schemas.microsoft.com/office/drawing/2014/main" id="{DA41E322-D89D-41BF-A037-799B3C8B4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0412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660" name="Picture 1">
          <a:extLst>
            <a:ext uri="{FF2B5EF4-FFF2-40B4-BE49-F238E27FC236}">
              <a16:creationId xmlns:a16="http://schemas.microsoft.com/office/drawing/2014/main" id="{3AFCADF5-E127-4CA4-9A6F-6E3DA1099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65</xdr:row>
      <xdr:rowOff>144360</xdr:rowOff>
    </xdr:from>
    <xdr:ext cx="1294920" cy="57240"/>
    <xdr:pic>
      <xdr:nvPicPr>
        <xdr:cNvPr id="661" name="Picture 1">
          <a:extLst>
            <a:ext uri="{FF2B5EF4-FFF2-40B4-BE49-F238E27FC236}">
              <a16:creationId xmlns:a16="http://schemas.microsoft.com/office/drawing/2014/main" id="{F3FB86A5-3EE9-4EA7-9C74-7EE85692B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2317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662" name="Picture 1">
          <a:extLst>
            <a:ext uri="{FF2B5EF4-FFF2-40B4-BE49-F238E27FC236}">
              <a16:creationId xmlns:a16="http://schemas.microsoft.com/office/drawing/2014/main" id="{A33A2068-7098-420A-AD05-6FAE9756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66</xdr:row>
      <xdr:rowOff>144000</xdr:rowOff>
    </xdr:from>
    <xdr:ext cx="1294920" cy="57960"/>
    <xdr:pic>
      <xdr:nvPicPr>
        <xdr:cNvPr id="663" name="Picture 1">
          <a:extLst>
            <a:ext uri="{FF2B5EF4-FFF2-40B4-BE49-F238E27FC236}">
              <a16:creationId xmlns:a16="http://schemas.microsoft.com/office/drawing/2014/main" id="{E2589C5F-D79C-41A0-8D73-B6E39E855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4313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664" name="Picture 1">
          <a:extLst>
            <a:ext uri="{FF2B5EF4-FFF2-40B4-BE49-F238E27FC236}">
              <a16:creationId xmlns:a16="http://schemas.microsoft.com/office/drawing/2014/main" id="{B1A6437C-52CF-46BC-ACB0-A8B67924D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67</xdr:row>
      <xdr:rowOff>144360</xdr:rowOff>
    </xdr:from>
    <xdr:ext cx="1294920" cy="57240"/>
    <xdr:pic>
      <xdr:nvPicPr>
        <xdr:cNvPr id="665" name="Picture 1">
          <a:extLst>
            <a:ext uri="{FF2B5EF4-FFF2-40B4-BE49-F238E27FC236}">
              <a16:creationId xmlns:a16="http://schemas.microsoft.com/office/drawing/2014/main" id="{0AEA10CA-64C3-453C-958A-FABB4FF5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6317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666" name="Picture 1">
          <a:extLst>
            <a:ext uri="{FF2B5EF4-FFF2-40B4-BE49-F238E27FC236}">
              <a16:creationId xmlns:a16="http://schemas.microsoft.com/office/drawing/2014/main" id="{A3BFF245-F0FB-49FC-A17A-6B42165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68</xdr:row>
      <xdr:rowOff>144360</xdr:rowOff>
    </xdr:from>
    <xdr:ext cx="1294920" cy="57240"/>
    <xdr:pic>
      <xdr:nvPicPr>
        <xdr:cNvPr id="667" name="Picture 1">
          <a:extLst>
            <a:ext uri="{FF2B5EF4-FFF2-40B4-BE49-F238E27FC236}">
              <a16:creationId xmlns:a16="http://schemas.microsoft.com/office/drawing/2014/main" id="{71E3867E-4EFC-4C4B-9255-9A8EF27F4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38317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668" name="Picture 1">
          <a:extLst>
            <a:ext uri="{FF2B5EF4-FFF2-40B4-BE49-F238E27FC236}">
              <a16:creationId xmlns:a16="http://schemas.microsoft.com/office/drawing/2014/main" id="{75BF0EDA-C446-419B-9CF9-344EB5059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69</xdr:row>
      <xdr:rowOff>144000</xdr:rowOff>
    </xdr:from>
    <xdr:ext cx="1294920" cy="57240"/>
    <xdr:pic>
      <xdr:nvPicPr>
        <xdr:cNvPr id="669" name="Picture 1">
          <a:extLst>
            <a:ext uri="{FF2B5EF4-FFF2-40B4-BE49-F238E27FC236}">
              <a16:creationId xmlns:a16="http://schemas.microsoft.com/office/drawing/2014/main" id="{D2511B54-02F4-4759-99A0-2D42F8C6B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03145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670" name="Picture 1">
          <a:extLst>
            <a:ext uri="{FF2B5EF4-FFF2-40B4-BE49-F238E27FC236}">
              <a16:creationId xmlns:a16="http://schemas.microsoft.com/office/drawing/2014/main" id="{6323DEBE-BBBC-4EB9-887F-56402E406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70</xdr:row>
      <xdr:rowOff>144360</xdr:rowOff>
    </xdr:from>
    <xdr:ext cx="1294920" cy="57240"/>
    <xdr:pic>
      <xdr:nvPicPr>
        <xdr:cNvPr id="671" name="Picture 1">
          <a:extLst>
            <a:ext uri="{FF2B5EF4-FFF2-40B4-BE49-F238E27FC236}">
              <a16:creationId xmlns:a16="http://schemas.microsoft.com/office/drawing/2014/main" id="{45E2860C-DA31-4F98-B6AB-A2B908EC6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231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672" name="Picture 1">
          <a:extLst>
            <a:ext uri="{FF2B5EF4-FFF2-40B4-BE49-F238E27FC236}">
              <a16:creationId xmlns:a16="http://schemas.microsoft.com/office/drawing/2014/main" id="{CD6D8069-9815-404B-A4FD-3C01B9D91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71</xdr:row>
      <xdr:rowOff>144000</xdr:rowOff>
    </xdr:from>
    <xdr:ext cx="1294920" cy="57960"/>
    <xdr:pic>
      <xdr:nvPicPr>
        <xdr:cNvPr id="673" name="Picture 1">
          <a:extLst>
            <a:ext uri="{FF2B5EF4-FFF2-40B4-BE49-F238E27FC236}">
              <a16:creationId xmlns:a16="http://schemas.microsoft.com/office/drawing/2014/main" id="{D71B69FB-9A20-4137-B3CF-0FB7814D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4315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72</xdr:row>
      <xdr:rowOff>144360</xdr:rowOff>
    </xdr:from>
    <xdr:ext cx="1294920" cy="57240"/>
    <xdr:pic>
      <xdr:nvPicPr>
        <xdr:cNvPr id="674" name="Picture 1">
          <a:extLst>
            <a:ext uri="{FF2B5EF4-FFF2-40B4-BE49-F238E27FC236}">
              <a16:creationId xmlns:a16="http://schemas.microsoft.com/office/drawing/2014/main" id="{04323D17-EC1A-4DD5-9B39-122B16609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6318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675" name="Picture 1">
          <a:extLst>
            <a:ext uri="{FF2B5EF4-FFF2-40B4-BE49-F238E27FC236}">
              <a16:creationId xmlns:a16="http://schemas.microsoft.com/office/drawing/2014/main" id="{75ECE5EF-B830-4C6B-A546-8552B9B6B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73</xdr:row>
      <xdr:rowOff>144360</xdr:rowOff>
    </xdr:from>
    <xdr:ext cx="1294920" cy="57240"/>
    <xdr:pic>
      <xdr:nvPicPr>
        <xdr:cNvPr id="676" name="Picture 1">
          <a:extLst>
            <a:ext uri="{FF2B5EF4-FFF2-40B4-BE49-F238E27FC236}">
              <a16:creationId xmlns:a16="http://schemas.microsoft.com/office/drawing/2014/main" id="{5F0B0BAD-85C5-425A-BB47-173FB1BCF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48319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677" name="Picture 1">
          <a:extLst>
            <a:ext uri="{FF2B5EF4-FFF2-40B4-BE49-F238E27FC236}">
              <a16:creationId xmlns:a16="http://schemas.microsoft.com/office/drawing/2014/main" id="{E9F91317-A1F5-4CC1-AC1A-346D4CE3B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74</xdr:row>
      <xdr:rowOff>144000</xdr:rowOff>
    </xdr:from>
    <xdr:ext cx="1294920" cy="57960"/>
    <xdr:pic>
      <xdr:nvPicPr>
        <xdr:cNvPr id="678" name="Picture 1">
          <a:extLst>
            <a:ext uri="{FF2B5EF4-FFF2-40B4-BE49-F238E27FC236}">
              <a16:creationId xmlns:a16="http://schemas.microsoft.com/office/drawing/2014/main" id="{CD0C5023-B7EC-4EAD-BF5A-A6A8A02FE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0315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679" name="Picture 1">
          <a:extLst>
            <a:ext uri="{FF2B5EF4-FFF2-40B4-BE49-F238E27FC236}">
              <a16:creationId xmlns:a16="http://schemas.microsoft.com/office/drawing/2014/main" id="{52BB114B-A346-4271-9AED-CCC75946E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75</xdr:row>
      <xdr:rowOff>144360</xdr:rowOff>
    </xdr:from>
    <xdr:ext cx="1294920" cy="57240"/>
    <xdr:pic>
      <xdr:nvPicPr>
        <xdr:cNvPr id="680" name="Picture 1">
          <a:extLst>
            <a:ext uri="{FF2B5EF4-FFF2-40B4-BE49-F238E27FC236}">
              <a16:creationId xmlns:a16="http://schemas.microsoft.com/office/drawing/2014/main" id="{352B5763-222A-45DD-9976-3F0CC39C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23196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681" name="Picture 1">
          <a:extLst>
            <a:ext uri="{FF2B5EF4-FFF2-40B4-BE49-F238E27FC236}">
              <a16:creationId xmlns:a16="http://schemas.microsoft.com/office/drawing/2014/main" id="{3069436C-7400-46C0-8DC4-D8341A3DC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76</xdr:row>
      <xdr:rowOff>144000</xdr:rowOff>
    </xdr:from>
    <xdr:ext cx="1294920" cy="57960"/>
    <xdr:pic>
      <xdr:nvPicPr>
        <xdr:cNvPr id="682" name="Picture 1">
          <a:extLst>
            <a:ext uri="{FF2B5EF4-FFF2-40B4-BE49-F238E27FC236}">
              <a16:creationId xmlns:a16="http://schemas.microsoft.com/office/drawing/2014/main" id="{E82DBDC3-6159-4784-9396-9E36927B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4316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683" name="Picture 1">
          <a:extLst>
            <a:ext uri="{FF2B5EF4-FFF2-40B4-BE49-F238E27FC236}">
              <a16:creationId xmlns:a16="http://schemas.microsoft.com/office/drawing/2014/main" id="{A53B42F9-26BF-4B01-A530-BE42407CF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77</xdr:row>
      <xdr:rowOff>144360</xdr:rowOff>
    </xdr:from>
    <xdr:ext cx="1294920" cy="57240"/>
    <xdr:pic>
      <xdr:nvPicPr>
        <xdr:cNvPr id="684" name="Picture 1">
          <a:extLst>
            <a:ext uri="{FF2B5EF4-FFF2-40B4-BE49-F238E27FC236}">
              <a16:creationId xmlns:a16="http://schemas.microsoft.com/office/drawing/2014/main" id="{DF02397D-2009-4653-982B-29F10135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6320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685" name="Picture 1">
          <a:extLst>
            <a:ext uri="{FF2B5EF4-FFF2-40B4-BE49-F238E27FC236}">
              <a16:creationId xmlns:a16="http://schemas.microsoft.com/office/drawing/2014/main" id="{E55CA583-F63F-4C16-8ED8-40216DF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78</xdr:row>
      <xdr:rowOff>144360</xdr:rowOff>
    </xdr:from>
    <xdr:ext cx="1294920" cy="57240"/>
    <xdr:pic>
      <xdr:nvPicPr>
        <xdr:cNvPr id="686" name="Picture 1">
          <a:extLst>
            <a:ext uri="{FF2B5EF4-FFF2-40B4-BE49-F238E27FC236}">
              <a16:creationId xmlns:a16="http://schemas.microsoft.com/office/drawing/2014/main" id="{8661E523-8884-4FE3-BF37-329AB9743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58320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687" name="Picture 1">
          <a:extLst>
            <a:ext uri="{FF2B5EF4-FFF2-40B4-BE49-F238E27FC236}">
              <a16:creationId xmlns:a16="http://schemas.microsoft.com/office/drawing/2014/main" id="{B6003541-A6EB-4AD7-97E7-8A028DD26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79</xdr:row>
      <xdr:rowOff>144000</xdr:rowOff>
    </xdr:from>
    <xdr:ext cx="1294920" cy="57960"/>
    <xdr:pic>
      <xdr:nvPicPr>
        <xdr:cNvPr id="688" name="Picture 1">
          <a:extLst>
            <a:ext uri="{FF2B5EF4-FFF2-40B4-BE49-F238E27FC236}">
              <a16:creationId xmlns:a16="http://schemas.microsoft.com/office/drawing/2014/main" id="{A8FFEE6E-CA27-49D7-A11F-131F46CE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03170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689" name="Picture 1">
          <a:extLst>
            <a:ext uri="{FF2B5EF4-FFF2-40B4-BE49-F238E27FC236}">
              <a16:creationId xmlns:a16="http://schemas.microsoft.com/office/drawing/2014/main" id="{5E524394-F0BD-4A07-963F-98E15CB97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80</xdr:row>
      <xdr:rowOff>144360</xdr:rowOff>
    </xdr:from>
    <xdr:ext cx="1294920" cy="57240"/>
    <xdr:pic>
      <xdr:nvPicPr>
        <xdr:cNvPr id="690" name="Picture 1">
          <a:extLst>
            <a:ext uri="{FF2B5EF4-FFF2-40B4-BE49-F238E27FC236}">
              <a16:creationId xmlns:a16="http://schemas.microsoft.com/office/drawing/2014/main" id="{ECAEBAB8-6853-4C2E-BF2A-2D34EC031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23208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691" name="Picture 1">
          <a:extLst>
            <a:ext uri="{FF2B5EF4-FFF2-40B4-BE49-F238E27FC236}">
              <a16:creationId xmlns:a16="http://schemas.microsoft.com/office/drawing/2014/main" id="{A9AA589C-F6B1-4764-B5A9-44753DFE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81</xdr:row>
      <xdr:rowOff>144360</xdr:rowOff>
    </xdr:from>
    <xdr:ext cx="1294920" cy="57240"/>
    <xdr:pic>
      <xdr:nvPicPr>
        <xdr:cNvPr id="692" name="Picture 1">
          <a:extLst>
            <a:ext uri="{FF2B5EF4-FFF2-40B4-BE49-F238E27FC236}">
              <a16:creationId xmlns:a16="http://schemas.microsoft.com/office/drawing/2014/main" id="{F27B04B6-802A-4560-86F7-2D74F11F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432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693" name="Picture 1">
          <a:extLst>
            <a:ext uri="{FF2B5EF4-FFF2-40B4-BE49-F238E27FC236}">
              <a16:creationId xmlns:a16="http://schemas.microsoft.com/office/drawing/2014/main" id="{275F6D9A-2385-4B0C-8834-BC0EA7C2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82</xdr:row>
      <xdr:rowOff>144000</xdr:rowOff>
    </xdr:from>
    <xdr:ext cx="1294920" cy="57960"/>
    <xdr:pic>
      <xdr:nvPicPr>
        <xdr:cNvPr id="694" name="Picture 1">
          <a:extLst>
            <a:ext uri="{FF2B5EF4-FFF2-40B4-BE49-F238E27FC236}">
              <a16:creationId xmlns:a16="http://schemas.microsoft.com/office/drawing/2014/main" id="{484071C8-13A1-401C-92F0-F6716858F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622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695" name="Picture 1">
          <a:extLst>
            <a:ext uri="{FF2B5EF4-FFF2-40B4-BE49-F238E27FC236}">
              <a16:creationId xmlns:a16="http://schemas.microsoft.com/office/drawing/2014/main" id="{B7812889-C299-46AD-BB25-F6BCA10FA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83</xdr:row>
      <xdr:rowOff>144360</xdr:rowOff>
    </xdr:from>
    <xdr:ext cx="1294920" cy="57240"/>
    <xdr:pic>
      <xdr:nvPicPr>
        <xdr:cNvPr id="696" name="Picture 1">
          <a:extLst>
            <a:ext uri="{FF2B5EF4-FFF2-40B4-BE49-F238E27FC236}">
              <a16:creationId xmlns:a16="http://schemas.microsoft.com/office/drawing/2014/main" id="{E665CCD1-BF1C-4FFB-8849-22AD3C19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6813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84</xdr:row>
      <xdr:rowOff>144000</xdr:rowOff>
    </xdr:from>
    <xdr:ext cx="1294920" cy="57960"/>
    <xdr:pic>
      <xdr:nvPicPr>
        <xdr:cNvPr id="697" name="Picture 1">
          <a:extLst>
            <a:ext uri="{FF2B5EF4-FFF2-40B4-BE49-F238E27FC236}">
              <a16:creationId xmlns:a16="http://schemas.microsoft.com/office/drawing/2014/main" id="{61D585C0-8165-4C19-8D4B-045CF178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0032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698" name="Picture 1">
          <a:extLst>
            <a:ext uri="{FF2B5EF4-FFF2-40B4-BE49-F238E27FC236}">
              <a16:creationId xmlns:a16="http://schemas.microsoft.com/office/drawing/2014/main" id="{DB04B11A-DF55-40F8-90B0-AC6548F78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85</xdr:row>
      <xdr:rowOff>144360</xdr:rowOff>
    </xdr:from>
    <xdr:ext cx="1294920" cy="57240"/>
    <xdr:pic>
      <xdr:nvPicPr>
        <xdr:cNvPr id="699" name="Picture 1">
          <a:extLst>
            <a:ext uri="{FF2B5EF4-FFF2-40B4-BE49-F238E27FC236}">
              <a16:creationId xmlns:a16="http://schemas.microsoft.com/office/drawing/2014/main" id="{9AA7DA4D-3F0C-4FE0-82C2-85E78600A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1941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700" name="Picture 1">
          <a:extLst>
            <a:ext uri="{FF2B5EF4-FFF2-40B4-BE49-F238E27FC236}">
              <a16:creationId xmlns:a16="http://schemas.microsoft.com/office/drawing/2014/main" id="{553E73F8-6834-41BC-924F-A1B5A5D4B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86</xdr:row>
      <xdr:rowOff>144360</xdr:rowOff>
    </xdr:from>
    <xdr:ext cx="1294920" cy="57240"/>
    <xdr:pic>
      <xdr:nvPicPr>
        <xdr:cNvPr id="701" name="Picture 1">
          <a:extLst>
            <a:ext uri="{FF2B5EF4-FFF2-40B4-BE49-F238E27FC236}">
              <a16:creationId xmlns:a16="http://schemas.microsoft.com/office/drawing/2014/main" id="{0B68830D-E274-43EC-95CF-70636FF1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3846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702" name="Picture 1">
          <a:extLst>
            <a:ext uri="{FF2B5EF4-FFF2-40B4-BE49-F238E27FC236}">
              <a16:creationId xmlns:a16="http://schemas.microsoft.com/office/drawing/2014/main" id="{19148FDC-F32D-44C6-A2F3-38FE4611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87</xdr:row>
      <xdr:rowOff>144000</xdr:rowOff>
    </xdr:from>
    <xdr:ext cx="1294920" cy="57960"/>
    <xdr:pic>
      <xdr:nvPicPr>
        <xdr:cNvPr id="703" name="Picture 1">
          <a:extLst>
            <a:ext uri="{FF2B5EF4-FFF2-40B4-BE49-F238E27FC236}">
              <a16:creationId xmlns:a16="http://schemas.microsoft.com/office/drawing/2014/main" id="{42489FD8-7799-4727-B32D-8B8AC9457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75747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4" name="Picture 1">
          <a:extLst>
            <a:ext uri="{FF2B5EF4-FFF2-40B4-BE49-F238E27FC236}">
              <a16:creationId xmlns:a16="http://schemas.microsoft.com/office/drawing/2014/main" id="{6FB5F5A9-22C2-4093-BC65-2D6C2A6AC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5" name="Picture 1">
          <a:extLst>
            <a:ext uri="{FF2B5EF4-FFF2-40B4-BE49-F238E27FC236}">
              <a16:creationId xmlns:a16="http://schemas.microsoft.com/office/drawing/2014/main" id="{E3AEA555-7E76-48A9-82A8-AD169271B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6" name="Picture 1">
          <a:extLst>
            <a:ext uri="{FF2B5EF4-FFF2-40B4-BE49-F238E27FC236}">
              <a16:creationId xmlns:a16="http://schemas.microsoft.com/office/drawing/2014/main" id="{CAF30E9B-5149-48B1-9640-DA345BD8C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7" name="Picture 1">
          <a:extLst>
            <a:ext uri="{FF2B5EF4-FFF2-40B4-BE49-F238E27FC236}">
              <a16:creationId xmlns:a16="http://schemas.microsoft.com/office/drawing/2014/main" id="{6EC8F118-F155-498E-B632-6DEE645A9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8" name="Picture 1">
          <a:extLst>
            <a:ext uri="{FF2B5EF4-FFF2-40B4-BE49-F238E27FC236}">
              <a16:creationId xmlns:a16="http://schemas.microsoft.com/office/drawing/2014/main" id="{124EA2DF-8FED-4C04-A83E-8A1FB78AF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09" name="Picture 1">
          <a:extLst>
            <a:ext uri="{FF2B5EF4-FFF2-40B4-BE49-F238E27FC236}">
              <a16:creationId xmlns:a16="http://schemas.microsoft.com/office/drawing/2014/main" id="{51735333-7FF7-4B56-A7D2-943978707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10" name="Picture 1">
          <a:extLst>
            <a:ext uri="{FF2B5EF4-FFF2-40B4-BE49-F238E27FC236}">
              <a16:creationId xmlns:a16="http://schemas.microsoft.com/office/drawing/2014/main" id="{8B628076-443A-4DB4-BA74-7E043D705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11" name="Picture 1">
          <a:extLst>
            <a:ext uri="{FF2B5EF4-FFF2-40B4-BE49-F238E27FC236}">
              <a16:creationId xmlns:a16="http://schemas.microsoft.com/office/drawing/2014/main" id="{959B915C-6BC9-40D6-BDFE-B44A9550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97</xdr:row>
      <xdr:rowOff>144000</xdr:rowOff>
    </xdr:from>
    <xdr:ext cx="1294920" cy="57960"/>
    <xdr:pic>
      <xdr:nvPicPr>
        <xdr:cNvPr id="712" name="Picture 1">
          <a:extLst>
            <a:ext uri="{FF2B5EF4-FFF2-40B4-BE49-F238E27FC236}">
              <a16:creationId xmlns:a16="http://schemas.microsoft.com/office/drawing/2014/main" id="{1F855EDB-FA94-46F3-9343-358A1C58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47022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3" name="Picture 1">
          <a:extLst>
            <a:ext uri="{FF2B5EF4-FFF2-40B4-BE49-F238E27FC236}">
              <a16:creationId xmlns:a16="http://schemas.microsoft.com/office/drawing/2014/main" id="{BDABADB0-D017-4C75-8B1A-7262C9890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4" name="Picture 1">
          <a:extLst>
            <a:ext uri="{FF2B5EF4-FFF2-40B4-BE49-F238E27FC236}">
              <a16:creationId xmlns:a16="http://schemas.microsoft.com/office/drawing/2014/main" id="{746CF177-CB3F-4E9D-B2E2-EDB28B46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5" name="Picture 1">
          <a:extLst>
            <a:ext uri="{FF2B5EF4-FFF2-40B4-BE49-F238E27FC236}">
              <a16:creationId xmlns:a16="http://schemas.microsoft.com/office/drawing/2014/main" id="{7367F847-A9AE-4DEF-BEAD-C66D89629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6" name="Picture 1">
          <a:extLst>
            <a:ext uri="{FF2B5EF4-FFF2-40B4-BE49-F238E27FC236}">
              <a16:creationId xmlns:a16="http://schemas.microsoft.com/office/drawing/2014/main" id="{E333DDD8-0CD3-424B-AFDA-C1955BAA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7" name="Picture 1">
          <a:extLst>
            <a:ext uri="{FF2B5EF4-FFF2-40B4-BE49-F238E27FC236}">
              <a16:creationId xmlns:a16="http://schemas.microsoft.com/office/drawing/2014/main" id="{AB9763D5-216D-4532-829C-380E1EDC9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8" name="Picture 1">
          <a:extLst>
            <a:ext uri="{FF2B5EF4-FFF2-40B4-BE49-F238E27FC236}">
              <a16:creationId xmlns:a16="http://schemas.microsoft.com/office/drawing/2014/main" id="{E264AC2A-DB4F-4E4F-BD4B-67CE29AC2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19" name="Picture 1">
          <a:extLst>
            <a:ext uri="{FF2B5EF4-FFF2-40B4-BE49-F238E27FC236}">
              <a16:creationId xmlns:a16="http://schemas.microsoft.com/office/drawing/2014/main" id="{56465209-9A49-4352-9C6D-B6B219DDC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20" name="Picture 1">
          <a:extLst>
            <a:ext uri="{FF2B5EF4-FFF2-40B4-BE49-F238E27FC236}">
              <a16:creationId xmlns:a16="http://schemas.microsoft.com/office/drawing/2014/main" id="{D9E1FC0F-E6EB-4E32-B338-98C04524E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98</xdr:row>
      <xdr:rowOff>276120</xdr:rowOff>
    </xdr:from>
    <xdr:ext cx="1294920" cy="28080"/>
    <xdr:pic>
      <xdr:nvPicPr>
        <xdr:cNvPr id="721" name="Picture 1">
          <a:extLst>
            <a:ext uri="{FF2B5EF4-FFF2-40B4-BE49-F238E27FC236}">
              <a16:creationId xmlns:a16="http://schemas.microsoft.com/office/drawing/2014/main" id="{5F8D9529-B4BB-4F15-8C93-1C6F2D09B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792845"/>
          <a:ext cx="1294920" cy="28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2" name="Picture 1">
          <a:extLst>
            <a:ext uri="{FF2B5EF4-FFF2-40B4-BE49-F238E27FC236}">
              <a16:creationId xmlns:a16="http://schemas.microsoft.com/office/drawing/2014/main" id="{4CD56A9B-EF2B-4823-BF7A-FA758331B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3" name="Picture 1">
          <a:extLst>
            <a:ext uri="{FF2B5EF4-FFF2-40B4-BE49-F238E27FC236}">
              <a16:creationId xmlns:a16="http://schemas.microsoft.com/office/drawing/2014/main" id="{4ACB0AF7-8A50-408C-AEAE-D9A0B459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4" name="Picture 1">
          <a:extLst>
            <a:ext uri="{FF2B5EF4-FFF2-40B4-BE49-F238E27FC236}">
              <a16:creationId xmlns:a16="http://schemas.microsoft.com/office/drawing/2014/main" id="{CC095773-7670-4A48-82EE-C519FCA1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5" name="Picture 1">
          <a:extLst>
            <a:ext uri="{FF2B5EF4-FFF2-40B4-BE49-F238E27FC236}">
              <a16:creationId xmlns:a16="http://schemas.microsoft.com/office/drawing/2014/main" id="{3301E3E4-1BD5-41A1-BC71-3FFAE3A8D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6" name="Picture 1">
          <a:extLst>
            <a:ext uri="{FF2B5EF4-FFF2-40B4-BE49-F238E27FC236}">
              <a16:creationId xmlns:a16="http://schemas.microsoft.com/office/drawing/2014/main" id="{02018C07-2D46-46D3-83B3-9474F372A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7" name="Picture 1">
          <a:extLst>
            <a:ext uri="{FF2B5EF4-FFF2-40B4-BE49-F238E27FC236}">
              <a16:creationId xmlns:a16="http://schemas.microsoft.com/office/drawing/2014/main" id="{D3B74031-AFE3-417E-BC84-23CDDA5A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8" name="Picture 1">
          <a:extLst>
            <a:ext uri="{FF2B5EF4-FFF2-40B4-BE49-F238E27FC236}">
              <a16:creationId xmlns:a16="http://schemas.microsoft.com/office/drawing/2014/main" id="{E6226FCD-4405-43AF-8BB9-99FA8C704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99</xdr:row>
      <xdr:rowOff>144360</xdr:rowOff>
    </xdr:from>
    <xdr:ext cx="1294920" cy="57240"/>
    <xdr:pic>
      <xdr:nvPicPr>
        <xdr:cNvPr id="729" name="Picture 1">
          <a:extLst>
            <a:ext uri="{FF2B5EF4-FFF2-40B4-BE49-F238E27FC236}">
              <a16:creationId xmlns:a16="http://schemas.microsoft.com/office/drawing/2014/main" id="{FF2E5A4F-6CF1-46BA-B876-654A81CF2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19946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0" name="Picture 1">
          <a:extLst>
            <a:ext uri="{FF2B5EF4-FFF2-40B4-BE49-F238E27FC236}">
              <a16:creationId xmlns:a16="http://schemas.microsoft.com/office/drawing/2014/main" id="{2CD9F10A-A581-4DC4-B868-4927D9265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1" name="Picture 1">
          <a:extLst>
            <a:ext uri="{FF2B5EF4-FFF2-40B4-BE49-F238E27FC236}">
              <a16:creationId xmlns:a16="http://schemas.microsoft.com/office/drawing/2014/main" id="{1F1B0103-3F36-41D0-9E78-4E4C3AE25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2" name="Picture 1">
          <a:extLst>
            <a:ext uri="{FF2B5EF4-FFF2-40B4-BE49-F238E27FC236}">
              <a16:creationId xmlns:a16="http://schemas.microsoft.com/office/drawing/2014/main" id="{A2413C66-9994-4162-A871-19A4571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3" name="Picture 1">
          <a:extLst>
            <a:ext uri="{FF2B5EF4-FFF2-40B4-BE49-F238E27FC236}">
              <a16:creationId xmlns:a16="http://schemas.microsoft.com/office/drawing/2014/main" id="{1D9C1046-86FB-461C-B6A4-3E71BF55C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4" name="Picture 1">
          <a:extLst>
            <a:ext uri="{FF2B5EF4-FFF2-40B4-BE49-F238E27FC236}">
              <a16:creationId xmlns:a16="http://schemas.microsoft.com/office/drawing/2014/main" id="{7B16B3E7-D3FE-4091-BB09-398DCED6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5" name="Picture 1">
          <a:extLst>
            <a:ext uri="{FF2B5EF4-FFF2-40B4-BE49-F238E27FC236}">
              <a16:creationId xmlns:a16="http://schemas.microsoft.com/office/drawing/2014/main" id="{85B53696-C597-40E8-A023-75040214D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6" name="Picture 1">
          <a:extLst>
            <a:ext uri="{FF2B5EF4-FFF2-40B4-BE49-F238E27FC236}">
              <a16:creationId xmlns:a16="http://schemas.microsoft.com/office/drawing/2014/main" id="{F20FE775-C594-4A23-825A-A9BC6CC7B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7" name="Picture 1">
          <a:extLst>
            <a:ext uri="{FF2B5EF4-FFF2-40B4-BE49-F238E27FC236}">
              <a16:creationId xmlns:a16="http://schemas.microsoft.com/office/drawing/2014/main" id="{66E8D46D-4E00-4D7C-BF15-3649C8D0F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100</xdr:row>
      <xdr:rowOff>144000</xdr:rowOff>
    </xdr:from>
    <xdr:ext cx="1294920" cy="57960"/>
    <xdr:pic>
      <xdr:nvPicPr>
        <xdr:cNvPr id="738" name="Picture 1">
          <a:extLst>
            <a:ext uri="{FF2B5EF4-FFF2-40B4-BE49-F238E27FC236}">
              <a16:creationId xmlns:a16="http://schemas.microsoft.com/office/drawing/2014/main" id="{B96479E2-AE74-4E01-A446-D71C6549E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136975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39" name="Picture 1">
          <a:extLst>
            <a:ext uri="{FF2B5EF4-FFF2-40B4-BE49-F238E27FC236}">
              <a16:creationId xmlns:a16="http://schemas.microsoft.com/office/drawing/2014/main" id="{E976A388-DD24-44F4-91ED-66C0BE952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0" name="Picture 1">
          <a:extLst>
            <a:ext uri="{FF2B5EF4-FFF2-40B4-BE49-F238E27FC236}">
              <a16:creationId xmlns:a16="http://schemas.microsoft.com/office/drawing/2014/main" id="{9F7E00AF-BC0A-472B-9A82-75B1DEA37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1" name="Picture 1">
          <a:extLst>
            <a:ext uri="{FF2B5EF4-FFF2-40B4-BE49-F238E27FC236}">
              <a16:creationId xmlns:a16="http://schemas.microsoft.com/office/drawing/2014/main" id="{DC7774A5-804E-4245-8CE8-FB4301D8A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2" name="Picture 1">
          <a:extLst>
            <a:ext uri="{FF2B5EF4-FFF2-40B4-BE49-F238E27FC236}">
              <a16:creationId xmlns:a16="http://schemas.microsoft.com/office/drawing/2014/main" id="{48246139-E4D0-482E-A816-7F02E44F2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3" name="Picture 1">
          <a:extLst>
            <a:ext uri="{FF2B5EF4-FFF2-40B4-BE49-F238E27FC236}">
              <a16:creationId xmlns:a16="http://schemas.microsoft.com/office/drawing/2014/main" id="{A5ECCB6B-9284-43A1-A8A3-2B83CD812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4" name="Picture 1">
          <a:extLst>
            <a:ext uri="{FF2B5EF4-FFF2-40B4-BE49-F238E27FC236}">
              <a16:creationId xmlns:a16="http://schemas.microsoft.com/office/drawing/2014/main" id="{58194308-C863-4CA7-9C9C-FD02203E3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5" name="Picture 1">
          <a:extLst>
            <a:ext uri="{FF2B5EF4-FFF2-40B4-BE49-F238E27FC236}">
              <a16:creationId xmlns:a16="http://schemas.microsoft.com/office/drawing/2014/main" id="{E7BFFB04-0E51-4322-B2C0-DA6545DB0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6" name="Picture 1">
          <a:extLst>
            <a:ext uri="{FF2B5EF4-FFF2-40B4-BE49-F238E27FC236}">
              <a16:creationId xmlns:a16="http://schemas.microsoft.com/office/drawing/2014/main" id="{FF2D0990-0DCD-499C-9C1E-D1D217DA6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101</xdr:row>
      <xdr:rowOff>144360</xdr:rowOff>
    </xdr:from>
    <xdr:ext cx="1294920" cy="57240"/>
    <xdr:pic>
      <xdr:nvPicPr>
        <xdr:cNvPr id="747" name="Picture 1">
          <a:extLst>
            <a:ext uri="{FF2B5EF4-FFF2-40B4-BE49-F238E27FC236}">
              <a16:creationId xmlns:a16="http://schemas.microsoft.com/office/drawing/2014/main" id="{503DA9FA-A3D9-4E04-8128-C767A8FC6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327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48" name="Picture 1">
          <a:extLst>
            <a:ext uri="{FF2B5EF4-FFF2-40B4-BE49-F238E27FC236}">
              <a16:creationId xmlns:a16="http://schemas.microsoft.com/office/drawing/2014/main" id="{F8510EA9-5CD7-4941-B848-6C8492749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49" name="Picture 1">
          <a:extLst>
            <a:ext uri="{FF2B5EF4-FFF2-40B4-BE49-F238E27FC236}">
              <a16:creationId xmlns:a16="http://schemas.microsoft.com/office/drawing/2014/main" id="{2B6D8839-9F96-416F-B9EB-4FEFCE5E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0" name="Picture 1">
          <a:extLst>
            <a:ext uri="{FF2B5EF4-FFF2-40B4-BE49-F238E27FC236}">
              <a16:creationId xmlns:a16="http://schemas.microsoft.com/office/drawing/2014/main" id="{62C48F15-26C1-4FE9-A0BE-AC4B84A2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1" name="Picture 1">
          <a:extLst>
            <a:ext uri="{FF2B5EF4-FFF2-40B4-BE49-F238E27FC236}">
              <a16:creationId xmlns:a16="http://schemas.microsoft.com/office/drawing/2014/main" id="{98724933-AEAB-4746-B629-B7C80FE2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2" name="Picture 1">
          <a:extLst>
            <a:ext uri="{FF2B5EF4-FFF2-40B4-BE49-F238E27FC236}">
              <a16:creationId xmlns:a16="http://schemas.microsoft.com/office/drawing/2014/main" id="{045131BC-70AA-4CB6-B65E-8346C2F6F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3" name="Picture 1">
          <a:extLst>
            <a:ext uri="{FF2B5EF4-FFF2-40B4-BE49-F238E27FC236}">
              <a16:creationId xmlns:a16="http://schemas.microsoft.com/office/drawing/2014/main" id="{0B48A09B-F705-463F-AE44-A1E8C3E50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4" name="Picture 1">
          <a:extLst>
            <a:ext uri="{FF2B5EF4-FFF2-40B4-BE49-F238E27FC236}">
              <a16:creationId xmlns:a16="http://schemas.microsoft.com/office/drawing/2014/main" id="{F99D5A7D-5645-4091-9F06-1C5CD950E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5" name="Picture 1">
          <a:extLst>
            <a:ext uri="{FF2B5EF4-FFF2-40B4-BE49-F238E27FC236}">
              <a16:creationId xmlns:a16="http://schemas.microsoft.com/office/drawing/2014/main" id="{0AAF3CF6-8513-4CBB-B13F-3764A0F40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102</xdr:row>
      <xdr:rowOff>144360</xdr:rowOff>
    </xdr:from>
    <xdr:ext cx="1294920" cy="57240"/>
    <xdr:pic>
      <xdr:nvPicPr>
        <xdr:cNvPr id="756" name="Picture 1">
          <a:extLst>
            <a:ext uri="{FF2B5EF4-FFF2-40B4-BE49-F238E27FC236}">
              <a16:creationId xmlns:a16="http://schemas.microsoft.com/office/drawing/2014/main" id="{A7CF2E0A-85A4-47D2-A21E-BF0BD5475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05183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57" name="Picture 1">
          <a:extLst>
            <a:ext uri="{FF2B5EF4-FFF2-40B4-BE49-F238E27FC236}">
              <a16:creationId xmlns:a16="http://schemas.microsoft.com/office/drawing/2014/main" id="{F0B25F3C-D6DB-4AFA-938D-2E412BB2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58" name="Picture 1">
          <a:extLst>
            <a:ext uri="{FF2B5EF4-FFF2-40B4-BE49-F238E27FC236}">
              <a16:creationId xmlns:a16="http://schemas.microsoft.com/office/drawing/2014/main" id="{4A3530BA-02AE-4EDD-8A47-09AAB64F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59" name="Picture 1">
          <a:extLst>
            <a:ext uri="{FF2B5EF4-FFF2-40B4-BE49-F238E27FC236}">
              <a16:creationId xmlns:a16="http://schemas.microsoft.com/office/drawing/2014/main" id="{7B57F84A-5972-4D0C-9521-7D1788806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0" name="Picture 1">
          <a:extLst>
            <a:ext uri="{FF2B5EF4-FFF2-40B4-BE49-F238E27FC236}">
              <a16:creationId xmlns:a16="http://schemas.microsoft.com/office/drawing/2014/main" id="{3341F14D-7AB3-45AF-ACF4-36A585F76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1" name="Picture 1">
          <a:extLst>
            <a:ext uri="{FF2B5EF4-FFF2-40B4-BE49-F238E27FC236}">
              <a16:creationId xmlns:a16="http://schemas.microsoft.com/office/drawing/2014/main" id="{DAACCD88-F776-4C33-A121-6955929A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2" name="Picture 1">
          <a:extLst>
            <a:ext uri="{FF2B5EF4-FFF2-40B4-BE49-F238E27FC236}">
              <a16:creationId xmlns:a16="http://schemas.microsoft.com/office/drawing/2014/main" id="{AE21F763-27E5-4AE0-A440-A5D601FF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3" name="Picture 1">
          <a:extLst>
            <a:ext uri="{FF2B5EF4-FFF2-40B4-BE49-F238E27FC236}">
              <a16:creationId xmlns:a16="http://schemas.microsoft.com/office/drawing/2014/main" id="{7FEE152B-7D9E-4868-992B-197DAE55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4" name="Picture 1">
          <a:extLst>
            <a:ext uri="{FF2B5EF4-FFF2-40B4-BE49-F238E27FC236}">
              <a16:creationId xmlns:a16="http://schemas.microsoft.com/office/drawing/2014/main" id="{00F46382-E62F-4277-8113-70B0D8713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5" name="Picture 1">
          <a:extLst>
            <a:ext uri="{FF2B5EF4-FFF2-40B4-BE49-F238E27FC236}">
              <a16:creationId xmlns:a16="http://schemas.microsoft.com/office/drawing/2014/main" id="{AC5A317E-3BE7-4B9C-8D98-93CF1895A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6" name="Picture 1">
          <a:extLst>
            <a:ext uri="{FF2B5EF4-FFF2-40B4-BE49-F238E27FC236}">
              <a16:creationId xmlns:a16="http://schemas.microsoft.com/office/drawing/2014/main" id="{842F18C2-275D-4992-A983-EF60FE207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7" name="Picture 1">
          <a:extLst>
            <a:ext uri="{FF2B5EF4-FFF2-40B4-BE49-F238E27FC236}">
              <a16:creationId xmlns:a16="http://schemas.microsoft.com/office/drawing/2014/main" id="{DA12FB0D-37B2-4921-B879-1719E120F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8" name="Picture 1">
          <a:extLst>
            <a:ext uri="{FF2B5EF4-FFF2-40B4-BE49-F238E27FC236}">
              <a16:creationId xmlns:a16="http://schemas.microsoft.com/office/drawing/2014/main" id="{3712A23C-F3C4-42FF-9758-68670E512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69" name="Picture 1">
          <a:extLst>
            <a:ext uri="{FF2B5EF4-FFF2-40B4-BE49-F238E27FC236}">
              <a16:creationId xmlns:a16="http://schemas.microsoft.com/office/drawing/2014/main" id="{4B2BC848-54B5-4CE7-87D9-99033E69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0" name="Picture 1">
          <a:extLst>
            <a:ext uri="{FF2B5EF4-FFF2-40B4-BE49-F238E27FC236}">
              <a16:creationId xmlns:a16="http://schemas.microsoft.com/office/drawing/2014/main" id="{0E1504D2-9366-4BAD-95BE-F34AEC8F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1" name="Picture 1">
          <a:extLst>
            <a:ext uri="{FF2B5EF4-FFF2-40B4-BE49-F238E27FC236}">
              <a16:creationId xmlns:a16="http://schemas.microsoft.com/office/drawing/2014/main" id="{D2146C50-0321-440C-A5E8-2366550E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2" name="Picture 1">
          <a:extLst>
            <a:ext uri="{FF2B5EF4-FFF2-40B4-BE49-F238E27FC236}">
              <a16:creationId xmlns:a16="http://schemas.microsoft.com/office/drawing/2014/main" id="{B8D076D7-7C5B-4789-ACF9-87A57E099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3" name="Picture 1">
          <a:extLst>
            <a:ext uri="{FF2B5EF4-FFF2-40B4-BE49-F238E27FC236}">
              <a16:creationId xmlns:a16="http://schemas.microsoft.com/office/drawing/2014/main" id="{723A1B54-33E5-4DEC-9C5E-33DD64A6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4" name="Picture 1">
          <a:extLst>
            <a:ext uri="{FF2B5EF4-FFF2-40B4-BE49-F238E27FC236}">
              <a16:creationId xmlns:a16="http://schemas.microsoft.com/office/drawing/2014/main" id="{1161F586-B7FA-437B-AD0B-D47230D3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5" name="Picture 1">
          <a:extLst>
            <a:ext uri="{FF2B5EF4-FFF2-40B4-BE49-F238E27FC236}">
              <a16:creationId xmlns:a16="http://schemas.microsoft.com/office/drawing/2014/main" id="{97D6A1FC-DF18-4580-9F71-E530835F1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6" name="Picture 1">
          <a:extLst>
            <a:ext uri="{FF2B5EF4-FFF2-40B4-BE49-F238E27FC236}">
              <a16:creationId xmlns:a16="http://schemas.microsoft.com/office/drawing/2014/main" id="{26E23FEC-7298-4E5E-AC96-BF47B2E4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7" name="Picture 1">
          <a:extLst>
            <a:ext uri="{FF2B5EF4-FFF2-40B4-BE49-F238E27FC236}">
              <a16:creationId xmlns:a16="http://schemas.microsoft.com/office/drawing/2014/main" id="{BC95BBA1-A55D-44F4-AC13-4C1E8F155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8" name="Picture 1">
          <a:extLst>
            <a:ext uri="{FF2B5EF4-FFF2-40B4-BE49-F238E27FC236}">
              <a16:creationId xmlns:a16="http://schemas.microsoft.com/office/drawing/2014/main" id="{445A1B22-B4F6-43DC-B7BA-86A4A923F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79" name="Picture 1">
          <a:extLst>
            <a:ext uri="{FF2B5EF4-FFF2-40B4-BE49-F238E27FC236}">
              <a16:creationId xmlns:a16="http://schemas.microsoft.com/office/drawing/2014/main" id="{F900D1C5-9E17-4732-A39B-E0FED523A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0" name="Picture 1">
          <a:extLst>
            <a:ext uri="{FF2B5EF4-FFF2-40B4-BE49-F238E27FC236}">
              <a16:creationId xmlns:a16="http://schemas.microsoft.com/office/drawing/2014/main" id="{A4FE7EC8-4DE6-4B74-952F-DA9234BBA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1" name="Picture 1">
          <a:extLst>
            <a:ext uri="{FF2B5EF4-FFF2-40B4-BE49-F238E27FC236}">
              <a16:creationId xmlns:a16="http://schemas.microsoft.com/office/drawing/2014/main" id="{EFD6F874-A1CA-4DA4-803E-86B5581C4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2" name="Picture 1">
          <a:extLst>
            <a:ext uri="{FF2B5EF4-FFF2-40B4-BE49-F238E27FC236}">
              <a16:creationId xmlns:a16="http://schemas.microsoft.com/office/drawing/2014/main" id="{7A303401-511C-4D6B-964A-C56BCC64F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3" name="Picture 1">
          <a:extLst>
            <a:ext uri="{FF2B5EF4-FFF2-40B4-BE49-F238E27FC236}">
              <a16:creationId xmlns:a16="http://schemas.microsoft.com/office/drawing/2014/main" id="{9E348B02-AB0F-4E21-978A-059DABBA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4" name="Picture 1">
          <a:extLst>
            <a:ext uri="{FF2B5EF4-FFF2-40B4-BE49-F238E27FC236}">
              <a16:creationId xmlns:a16="http://schemas.microsoft.com/office/drawing/2014/main" id="{B743DC39-70D1-4FBA-9E86-FCBA85057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785" name="Picture 1">
          <a:extLst>
            <a:ext uri="{FF2B5EF4-FFF2-40B4-BE49-F238E27FC236}">
              <a16:creationId xmlns:a16="http://schemas.microsoft.com/office/drawing/2014/main" id="{4C4BDC04-58E6-4D65-9622-770791699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86" name="Picture 1">
          <a:extLst>
            <a:ext uri="{FF2B5EF4-FFF2-40B4-BE49-F238E27FC236}">
              <a16:creationId xmlns:a16="http://schemas.microsoft.com/office/drawing/2014/main" id="{A3C42682-BE82-4E16-949A-AB4BE2470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87" name="Picture 1">
          <a:extLst>
            <a:ext uri="{FF2B5EF4-FFF2-40B4-BE49-F238E27FC236}">
              <a16:creationId xmlns:a16="http://schemas.microsoft.com/office/drawing/2014/main" id="{76A96FB2-45DB-4A97-8160-101BE390C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88" name="Picture 1">
          <a:extLst>
            <a:ext uri="{FF2B5EF4-FFF2-40B4-BE49-F238E27FC236}">
              <a16:creationId xmlns:a16="http://schemas.microsoft.com/office/drawing/2014/main" id="{FDC276F8-9174-46DF-B4E9-9F67AD80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89" name="Picture 1">
          <a:extLst>
            <a:ext uri="{FF2B5EF4-FFF2-40B4-BE49-F238E27FC236}">
              <a16:creationId xmlns:a16="http://schemas.microsoft.com/office/drawing/2014/main" id="{421EC4DD-8E64-40DA-8291-D434A23E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0" name="Picture 1">
          <a:extLst>
            <a:ext uri="{FF2B5EF4-FFF2-40B4-BE49-F238E27FC236}">
              <a16:creationId xmlns:a16="http://schemas.microsoft.com/office/drawing/2014/main" id="{9F4DF12B-025B-4A3F-8D12-1C982F2C9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1" name="Picture 1">
          <a:extLst>
            <a:ext uri="{FF2B5EF4-FFF2-40B4-BE49-F238E27FC236}">
              <a16:creationId xmlns:a16="http://schemas.microsoft.com/office/drawing/2014/main" id="{3172F95D-D473-45E4-9D0A-13383BED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2" name="Picture 1">
          <a:extLst>
            <a:ext uri="{FF2B5EF4-FFF2-40B4-BE49-F238E27FC236}">
              <a16:creationId xmlns:a16="http://schemas.microsoft.com/office/drawing/2014/main" id="{1EE957C0-82EC-4DEA-815E-994CDA4D5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3" name="Picture 1">
          <a:extLst>
            <a:ext uri="{FF2B5EF4-FFF2-40B4-BE49-F238E27FC236}">
              <a16:creationId xmlns:a16="http://schemas.microsoft.com/office/drawing/2014/main" id="{C52AD0E6-C6CA-4315-A23D-420BDDC9F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4" name="Picture 1">
          <a:extLst>
            <a:ext uri="{FF2B5EF4-FFF2-40B4-BE49-F238E27FC236}">
              <a16:creationId xmlns:a16="http://schemas.microsoft.com/office/drawing/2014/main" id="{A7C43E56-E833-4156-A742-F72628AD1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5" name="Picture 1">
          <a:extLst>
            <a:ext uri="{FF2B5EF4-FFF2-40B4-BE49-F238E27FC236}">
              <a16:creationId xmlns:a16="http://schemas.microsoft.com/office/drawing/2014/main" id="{786BDBFF-251A-46C8-82EE-47F1421E7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6" name="Picture 1">
          <a:extLst>
            <a:ext uri="{FF2B5EF4-FFF2-40B4-BE49-F238E27FC236}">
              <a16:creationId xmlns:a16="http://schemas.microsoft.com/office/drawing/2014/main" id="{BD4AAE8F-1A42-4B8A-8A1A-00DFA573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7" name="Picture 1">
          <a:extLst>
            <a:ext uri="{FF2B5EF4-FFF2-40B4-BE49-F238E27FC236}">
              <a16:creationId xmlns:a16="http://schemas.microsoft.com/office/drawing/2014/main" id="{D9F1F406-B662-461E-B017-5A13B56AD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8" name="Picture 1">
          <a:extLst>
            <a:ext uri="{FF2B5EF4-FFF2-40B4-BE49-F238E27FC236}">
              <a16:creationId xmlns:a16="http://schemas.microsoft.com/office/drawing/2014/main" id="{B7CD6364-B96C-48CD-B5E6-398DD1AB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799" name="Picture 1">
          <a:extLst>
            <a:ext uri="{FF2B5EF4-FFF2-40B4-BE49-F238E27FC236}">
              <a16:creationId xmlns:a16="http://schemas.microsoft.com/office/drawing/2014/main" id="{B428E18A-87CA-4105-9198-88E01ACF2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0" name="Picture 1">
          <a:extLst>
            <a:ext uri="{FF2B5EF4-FFF2-40B4-BE49-F238E27FC236}">
              <a16:creationId xmlns:a16="http://schemas.microsoft.com/office/drawing/2014/main" id="{1AF018D2-A439-49A8-B9CF-4AED0B86E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1" name="Picture 1">
          <a:extLst>
            <a:ext uri="{FF2B5EF4-FFF2-40B4-BE49-F238E27FC236}">
              <a16:creationId xmlns:a16="http://schemas.microsoft.com/office/drawing/2014/main" id="{1D14074D-C7EE-4388-A0D2-5DD585875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2" name="Picture 1">
          <a:extLst>
            <a:ext uri="{FF2B5EF4-FFF2-40B4-BE49-F238E27FC236}">
              <a16:creationId xmlns:a16="http://schemas.microsoft.com/office/drawing/2014/main" id="{B2CF56EB-694F-4271-A59D-8B2B7755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3" name="Picture 1">
          <a:extLst>
            <a:ext uri="{FF2B5EF4-FFF2-40B4-BE49-F238E27FC236}">
              <a16:creationId xmlns:a16="http://schemas.microsoft.com/office/drawing/2014/main" id="{C64B037E-02E1-4B96-B9B6-0D7FE8B5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4" name="Picture 1">
          <a:extLst>
            <a:ext uri="{FF2B5EF4-FFF2-40B4-BE49-F238E27FC236}">
              <a16:creationId xmlns:a16="http://schemas.microsoft.com/office/drawing/2014/main" id="{B2BB234E-535C-4AE1-AAFB-5006E0CAC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5" name="Picture 1">
          <a:extLst>
            <a:ext uri="{FF2B5EF4-FFF2-40B4-BE49-F238E27FC236}">
              <a16:creationId xmlns:a16="http://schemas.microsoft.com/office/drawing/2014/main" id="{84D966C4-EFEE-443E-9C0B-ED917DFCE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6" name="Picture 1">
          <a:extLst>
            <a:ext uri="{FF2B5EF4-FFF2-40B4-BE49-F238E27FC236}">
              <a16:creationId xmlns:a16="http://schemas.microsoft.com/office/drawing/2014/main" id="{AB061A21-E3D1-4D99-8A7C-351D3CF81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7" name="Picture 1">
          <a:extLst>
            <a:ext uri="{FF2B5EF4-FFF2-40B4-BE49-F238E27FC236}">
              <a16:creationId xmlns:a16="http://schemas.microsoft.com/office/drawing/2014/main" id="{5100A196-4ACB-4CCD-9B15-6BFB01E48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8" name="Picture 1">
          <a:extLst>
            <a:ext uri="{FF2B5EF4-FFF2-40B4-BE49-F238E27FC236}">
              <a16:creationId xmlns:a16="http://schemas.microsoft.com/office/drawing/2014/main" id="{B564F0DC-A109-4B64-9510-6A0181093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09" name="Picture 1">
          <a:extLst>
            <a:ext uri="{FF2B5EF4-FFF2-40B4-BE49-F238E27FC236}">
              <a16:creationId xmlns:a16="http://schemas.microsoft.com/office/drawing/2014/main" id="{5B658692-6F18-43DC-9844-0A54F2E47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10" name="Picture 1">
          <a:extLst>
            <a:ext uri="{FF2B5EF4-FFF2-40B4-BE49-F238E27FC236}">
              <a16:creationId xmlns:a16="http://schemas.microsoft.com/office/drawing/2014/main" id="{2FAC0780-034B-4324-98FB-8CBDA769D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11" name="Picture 1">
          <a:extLst>
            <a:ext uri="{FF2B5EF4-FFF2-40B4-BE49-F238E27FC236}">
              <a16:creationId xmlns:a16="http://schemas.microsoft.com/office/drawing/2014/main" id="{08F61527-5CF5-4C23-A781-F4CD13C00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12" name="Picture 1">
          <a:extLst>
            <a:ext uri="{FF2B5EF4-FFF2-40B4-BE49-F238E27FC236}">
              <a16:creationId xmlns:a16="http://schemas.microsoft.com/office/drawing/2014/main" id="{D0F78F65-25FB-4F51-80E1-B6DF147DD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13" name="Picture 1">
          <a:extLst>
            <a:ext uri="{FF2B5EF4-FFF2-40B4-BE49-F238E27FC236}">
              <a16:creationId xmlns:a16="http://schemas.microsoft.com/office/drawing/2014/main" id="{BE1FF3F4-047C-4141-922B-E12A12F0A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814" name="Picture 1">
          <a:extLst>
            <a:ext uri="{FF2B5EF4-FFF2-40B4-BE49-F238E27FC236}">
              <a16:creationId xmlns:a16="http://schemas.microsoft.com/office/drawing/2014/main" id="{80F2D17F-1018-4990-9D61-0BDD370A1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15" name="Picture 1">
          <a:extLst>
            <a:ext uri="{FF2B5EF4-FFF2-40B4-BE49-F238E27FC236}">
              <a16:creationId xmlns:a16="http://schemas.microsoft.com/office/drawing/2014/main" id="{ED0E154C-D911-4658-9235-C59453D0C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16" name="Picture 1">
          <a:extLst>
            <a:ext uri="{FF2B5EF4-FFF2-40B4-BE49-F238E27FC236}">
              <a16:creationId xmlns:a16="http://schemas.microsoft.com/office/drawing/2014/main" id="{8ABFFC32-C435-4DB4-84F2-8EB297C2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17" name="Picture 1">
          <a:extLst>
            <a:ext uri="{FF2B5EF4-FFF2-40B4-BE49-F238E27FC236}">
              <a16:creationId xmlns:a16="http://schemas.microsoft.com/office/drawing/2014/main" id="{51D035AA-9F60-4351-B80F-E6122C812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18" name="Picture 1">
          <a:extLst>
            <a:ext uri="{FF2B5EF4-FFF2-40B4-BE49-F238E27FC236}">
              <a16:creationId xmlns:a16="http://schemas.microsoft.com/office/drawing/2014/main" id="{193A54C2-3BEF-4669-8296-FFFCA481C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19" name="Picture 1">
          <a:extLst>
            <a:ext uri="{FF2B5EF4-FFF2-40B4-BE49-F238E27FC236}">
              <a16:creationId xmlns:a16="http://schemas.microsoft.com/office/drawing/2014/main" id="{701E196D-91FE-4CCF-AEFA-D1749F1B5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0" name="Picture 1">
          <a:extLst>
            <a:ext uri="{FF2B5EF4-FFF2-40B4-BE49-F238E27FC236}">
              <a16:creationId xmlns:a16="http://schemas.microsoft.com/office/drawing/2014/main" id="{4FCAAE11-2C0E-4884-A5A1-F3B89837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1" name="Picture 1">
          <a:extLst>
            <a:ext uri="{FF2B5EF4-FFF2-40B4-BE49-F238E27FC236}">
              <a16:creationId xmlns:a16="http://schemas.microsoft.com/office/drawing/2014/main" id="{4AEAF95D-3082-40A6-BDC7-C3957D64B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2" name="Picture 1">
          <a:extLst>
            <a:ext uri="{FF2B5EF4-FFF2-40B4-BE49-F238E27FC236}">
              <a16:creationId xmlns:a16="http://schemas.microsoft.com/office/drawing/2014/main" id="{F3DA3897-AE60-4A3F-A072-0BC29F983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3" name="Picture 1">
          <a:extLst>
            <a:ext uri="{FF2B5EF4-FFF2-40B4-BE49-F238E27FC236}">
              <a16:creationId xmlns:a16="http://schemas.microsoft.com/office/drawing/2014/main" id="{9B084446-3299-4E29-93C7-1267917F3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4" name="Picture 1">
          <a:extLst>
            <a:ext uri="{FF2B5EF4-FFF2-40B4-BE49-F238E27FC236}">
              <a16:creationId xmlns:a16="http://schemas.microsoft.com/office/drawing/2014/main" id="{9881573A-17DB-40D4-BC7F-B2C2CC4D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5" name="Picture 1">
          <a:extLst>
            <a:ext uri="{FF2B5EF4-FFF2-40B4-BE49-F238E27FC236}">
              <a16:creationId xmlns:a16="http://schemas.microsoft.com/office/drawing/2014/main" id="{01F91D44-95EE-4799-84B8-EC35619F0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6" name="Picture 1">
          <a:extLst>
            <a:ext uri="{FF2B5EF4-FFF2-40B4-BE49-F238E27FC236}">
              <a16:creationId xmlns:a16="http://schemas.microsoft.com/office/drawing/2014/main" id="{50C14546-335E-47AF-81C5-C00555767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7" name="Picture 1">
          <a:extLst>
            <a:ext uri="{FF2B5EF4-FFF2-40B4-BE49-F238E27FC236}">
              <a16:creationId xmlns:a16="http://schemas.microsoft.com/office/drawing/2014/main" id="{89EDADFB-D934-4566-8586-93645696A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8" name="Picture 1">
          <a:extLst>
            <a:ext uri="{FF2B5EF4-FFF2-40B4-BE49-F238E27FC236}">
              <a16:creationId xmlns:a16="http://schemas.microsoft.com/office/drawing/2014/main" id="{E5153262-FDB8-4C21-89B9-49DC9ACA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29" name="Picture 1">
          <a:extLst>
            <a:ext uri="{FF2B5EF4-FFF2-40B4-BE49-F238E27FC236}">
              <a16:creationId xmlns:a16="http://schemas.microsoft.com/office/drawing/2014/main" id="{1846BD55-9DBB-4EB6-9E8A-E3CD5F792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0" name="Picture 1">
          <a:extLst>
            <a:ext uri="{FF2B5EF4-FFF2-40B4-BE49-F238E27FC236}">
              <a16:creationId xmlns:a16="http://schemas.microsoft.com/office/drawing/2014/main" id="{A1BF07EC-01AD-4E82-8215-74559051E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1" name="Picture 1">
          <a:extLst>
            <a:ext uri="{FF2B5EF4-FFF2-40B4-BE49-F238E27FC236}">
              <a16:creationId xmlns:a16="http://schemas.microsoft.com/office/drawing/2014/main" id="{275BD76A-601B-4385-9EEF-F90493DE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2" name="Picture 1">
          <a:extLst>
            <a:ext uri="{FF2B5EF4-FFF2-40B4-BE49-F238E27FC236}">
              <a16:creationId xmlns:a16="http://schemas.microsoft.com/office/drawing/2014/main" id="{AD45F293-2F08-456E-A36D-B052D31F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3" name="Picture 1">
          <a:extLst>
            <a:ext uri="{FF2B5EF4-FFF2-40B4-BE49-F238E27FC236}">
              <a16:creationId xmlns:a16="http://schemas.microsoft.com/office/drawing/2014/main" id="{B5CB968B-ABCA-4F2A-A841-0DE36C50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4" name="Picture 1">
          <a:extLst>
            <a:ext uri="{FF2B5EF4-FFF2-40B4-BE49-F238E27FC236}">
              <a16:creationId xmlns:a16="http://schemas.microsoft.com/office/drawing/2014/main" id="{DD174AF0-0B3C-40C7-BA76-6E893EE1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5" name="Picture 1">
          <a:extLst>
            <a:ext uri="{FF2B5EF4-FFF2-40B4-BE49-F238E27FC236}">
              <a16:creationId xmlns:a16="http://schemas.microsoft.com/office/drawing/2014/main" id="{F291971B-5A72-4538-8F41-461EE2B86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6" name="Picture 1">
          <a:extLst>
            <a:ext uri="{FF2B5EF4-FFF2-40B4-BE49-F238E27FC236}">
              <a16:creationId xmlns:a16="http://schemas.microsoft.com/office/drawing/2014/main" id="{BE278810-7CC4-44C9-A4CF-F87B07046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7" name="Picture 1">
          <a:extLst>
            <a:ext uri="{FF2B5EF4-FFF2-40B4-BE49-F238E27FC236}">
              <a16:creationId xmlns:a16="http://schemas.microsoft.com/office/drawing/2014/main" id="{E21EAE11-B09B-4BFE-A180-E6EC95D6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8" name="Picture 1">
          <a:extLst>
            <a:ext uri="{FF2B5EF4-FFF2-40B4-BE49-F238E27FC236}">
              <a16:creationId xmlns:a16="http://schemas.microsoft.com/office/drawing/2014/main" id="{C5643DC3-4966-4486-836D-01821DE37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39" name="Picture 1">
          <a:extLst>
            <a:ext uri="{FF2B5EF4-FFF2-40B4-BE49-F238E27FC236}">
              <a16:creationId xmlns:a16="http://schemas.microsoft.com/office/drawing/2014/main" id="{9516B3D4-D655-4CA5-934B-A379CF09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40" name="Picture 1">
          <a:extLst>
            <a:ext uri="{FF2B5EF4-FFF2-40B4-BE49-F238E27FC236}">
              <a16:creationId xmlns:a16="http://schemas.microsoft.com/office/drawing/2014/main" id="{11600990-37DE-41A6-95A9-26554316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41" name="Picture 1">
          <a:extLst>
            <a:ext uri="{FF2B5EF4-FFF2-40B4-BE49-F238E27FC236}">
              <a16:creationId xmlns:a16="http://schemas.microsoft.com/office/drawing/2014/main" id="{99D86190-19CD-4AA7-9038-9E04AB16D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42" name="Picture 1">
          <a:extLst>
            <a:ext uri="{FF2B5EF4-FFF2-40B4-BE49-F238E27FC236}">
              <a16:creationId xmlns:a16="http://schemas.microsoft.com/office/drawing/2014/main" id="{3E2CA0F8-4F61-4970-9296-614EBEF7D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843" name="Picture 1">
          <a:extLst>
            <a:ext uri="{FF2B5EF4-FFF2-40B4-BE49-F238E27FC236}">
              <a16:creationId xmlns:a16="http://schemas.microsoft.com/office/drawing/2014/main" id="{79478046-8AA0-4352-8FB9-C4F7141A5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4" name="Picture 1">
          <a:extLst>
            <a:ext uri="{FF2B5EF4-FFF2-40B4-BE49-F238E27FC236}">
              <a16:creationId xmlns:a16="http://schemas.microsoft.com/office/drawing/2014/main" id="{C3BF936A-8789-41DA-9539-6E3821C0E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5" name="Picture 1">
          <a:extLst>
            <a:ext uri="{FF2B5EF4-FFF2-40B4-BE49-F238E27FC236}">
              <a16:creationId xmlns:a16="http://schemas.microsoft.com/office/drawing/2014/main" id="{0FD616A0-11D0-4765-9C92-DCB017B0D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6" name="Picture 1">
          <a:extLst>
            <a:ext uri="{FF2B5EF4-FFF2-40B4-BE49-F238E27FC236}">
              <a16:creationId xmlns:a16="http://schemas.microsoft.com/office/drawing/2014/main" id="{3F638CA5-087E-4949-957C-F8AEBDDD6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7" name="Picture 1">
          <a:extLst>
            <a:ext uri="{FF2B5EF4-FFF2-40B4-BE49-F238E27FC236}">
              <a16:creationId xmlns:a16="http://schemas.microsoft.com/office/drawing/2014/main" id="{170FD55E-F6E6-441D-A55B-A6905502A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8" name="Picture 1">
          <a:extLst>
            <a:ext uri="{FF2B5EF4-FFF2-40B4-BE49-F238E27FC236}">
              <a16:creationId xmlns:a16="http://schemas.microsoft.com/office/drawing/2014/main" id="{7F7126C4-7E08-4ECF-BD3A-C5CCF4EB7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49" name="Picture 1">
          <a:extLst>
            <a:ext uri="{FF2B5EF4-FFF2-40B4-BE49-F238E27FC236}">
              <a16:creationId xmlns:a16="http://schemas.microsoft.com/office/drawing/2014/main" id="{F35E1D56-F816-4CCF-B4D5-0FC9B0EC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0" name="Picture 1">
          <a:extLst>
            <a:ext uri="{FF2B5EF4-FFF2-40B4-BE49-F238E27FC236}">
              <a16:creationId xmlns:a16="http://schemas.microsoft.com/office/drawing/2014/main" id="{A5F0ED54-057E-4A7B-9DAC-81B020BF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1" name="Picture 1">
          <a:extLst>
            <a:ext uri="{FF2B5EF4-FFF2-40B4-BE49-F238E27FC236}">
              <a16:creationId xmlns:a16="http://schemas.microsoft.com/office/drawing/2014/main" id="{40075CEC-33F2-4F55-93DF-C57835E2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2" name="Picture 1">
          <a:extLst>
            <a:ext uri="{FF2B5EF4-FFF2-40B4-BE49-F238E27FC236}">
              <a16:creationId xmlns:a16="http://schemas.microsoft.com/office/drawing/2014/main" id="{DCD241BB-2386-4D01-9645-6071D8DBD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3" name="Picture 1">
          <a:extLst>
            <a:ext uri="{FF2B5EF4-FFF2-40B4-BE49-F238E27FC236}">
              <a16:creationId xmlns:a16="http://schemas.microsoft.com/office/drawing/2014/main" id="{A9F0E32D-2CFA-4579-8419-8410B928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4" name="Picture 1">
          <a:extLst>
            <a:ext uri="{FF2B5EF4-FFF2-40B4-BE49-F238E27FC236}">
              <a16:creationId xmlns:a16="http://schemas.microsoft.com/office/drawing/2014/main" id="{E7AD49D7-9CB7-4216-8F7D-C0C056E52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5" name="Picture 1">
          <a:extLst>
            <a:ext uri="{FF2B5EF4-FFF2-40B4-BE49-F238E27FC236}">
              <a16:creationId xmlns:a16="http://schemas.microsoft.com/office/drawing/2014/main" id="{16A499F8-FEAA-4FDA-B1F4-817386B6B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6" name="Picture 1">
          <a:extLst>
            <a:ext uri="{FF2B5EF4-FFF2-40B4-BE49-F238E27FC236}">
              <a16:creationId xmlns:a16="http://schemas.microsoft.com/office/drawing/2014/main" id="{444132C8-62CF-4A4D-ABB0-485C0EDF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7" name="Picture 1">
          <a:extLst>
            <a:ext uri="{FF2B5EF4-FFF2-40B4-BE49-F238E27FC236}">
              <a16:creationId xmlns:a16="http://schemas.microsoft.com/office/drawing/2014/main" id="{F558D85F-CC56-4AA0-944A-7F752857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8" name="Picture 1">
          <a:extLst>
            <a:ext uri="{FF2B5EF4-FFF2-40B4-BE49-F238E27FC236}">
              <a16:creationId xmlns:a16="http://schemas.microsoft.com/office/drawing/2014/main" id="{F7B67AC3-6E54-47F2-90E8-32F901C94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59" name="Picture 1">
          <a:extLst>
            <a:ext uri="{FF2B5EF4-FFF2-40B4-BE49-F238E27FC236}">
              <a16:creationId xmlns:a16="http://schemas.microsoft.com/office/drawing/2014/main" id="{81A2E794-E1F4-409E-AE56-4B2B46A59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0" name="Picture 1">
          <a:extLst>
            <a:ext uri="{FF2B5EF4-FFF2-40B4-BE49-F238E27FC236}">
              <a16:creationId xmlns:a16="http://schemas.microsoft.com/office/drawing/2014/main" id="{C964F057-7FB8-4C89-8D38-FABBA990F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1" name="Picture 1">
          <a:extLst>
            <a:ext uri="{FF2B5EF4-FFF2-40B4-BE49-F238E27FC236}">
              <a16:creationId xmlns:a16="http://schemas.microsoft.com/office/drawing/2014/main" id="{1CD27138-9682-4321-80AB-C395B770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2" name="Picture 1">
          <a:extLst>
            <a:ext uri="{FF2B5EF4-FFF2-40B4-BE49-F238E27FC236}">
              <a16:creationId xmlns:a16="http://schemas.microsoft.com/office/drawing/2014/main" id="{C40406DA-A58E-446F-8981-08C7986B3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3" name="Picture 1">
          <a:extLst>
            <a:ext uri="{FF2B5EF4-FFF2-40B4-BE49-F238E27FC236}">
              <a16:creationId xmlns:a16="http://schemas.microsoft.com/office/drawing/2014/main" id="{0A2D9CE8-BBC8-49B5-9853-74632284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4" name="Picture 1">
          <a:extLst>
            <a:ext uri="{FF2B5EF4-FFF2-40B4-BE49-F238E27FC236}">
              <a16:creationId xmlns:a16="http://schemas.microsoft.com/office/drawing/2014/main" id="{895C0B75-D688-4675-BCEB-EF2F16325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5" name="Picture 1">
          <a:extLst>
            <a:ext uri="{FF2B5EF4-FFF2-40B4-BE49-F238E27FC236}">
              <a16:creationId xmlns:a16="http://schemas.microsoft.com/office/drawing/2014/main" id="{223ED911-2637-4574-8725-852EB2C1D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6" name="Picture 1">
          <a:extLst>
            <a:ext uri="{FF2B5EF4-FFF2-40B4-BE49-F238E27FC236}">
              <a16:creationId xmlns:a16="http://schemas.microsoft.com/office/drawing/2014/main" id="{56A5D240-4294-45F3-AFD4-5650BE1A3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7" name="Picture 1">
          <a:extLst>
            <a:ext uri="{FF2B5EF4-FFF2-40B4-BE49-F238E27FC236}">
              <a16:creationId xmlns:a16="http://schemas.microsoft.com/office/drawing/2014/main" id="{E2656508-EA55-4C07-9444-CB36613E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8" name="Picture 1">
          <a:extLst>
            <a:ext uri="{FF2B5EF4-FFF2-40B4-BE49-F238E27FC236}">
              <a16:creationId xmlns:a16="http://schemas.microsoft.com/office/drawing/2014/main" id="{F789BD29-CB05-43FB-B1E6-077F5E106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69" name="Picture 1">
          <a:extLst>
            <a:ext uri="{FF2B5EF4-FFF2-40B4-BE49-F238E27FC236}">
              <a16:creationId xmlns:a16="http://schemas.microsoft.com/office/drawing/2014/main" id="{8A45CCF1-B3B5-404D-9ACC-2C3D5117E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70" name="Picture 1">
          <a:extLst>
            <a:ext uri="{FF2B5EF4-FFF2-40B4-BE49-F238E27FC236}">
              <a16:creationId xmlns:a16="http://schemas.microsoft.com/office/drawing/2014/main" id="{48040C40-6388-491B-AE25-B06E427BB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71" name="Picture 1">
          <a:extLst>
            <a:ext uri="{FF2B5EF4-FFF2-40B4-BE49-F238E27FC236}">
              <a16:creationId xmlns:a16="http://schemas.microsoft.com/office/drawing/2014/main" id="{A6AE6029-ADC8-4EEE-AAFE-54725A08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872" name="Picture 1">
          <a:extLst>
            <a:ext uri="{FF2B5EF4-FFF2-40B4-BE49-F238E27FC236}">
              <a16:creationId xmlns:a16="http://schemas.microsoft.com/office/drawing/2014/main" id="{C5237BD0-370A-440A-ADCC-9E7BC98E6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3" name="Picture 1">
          <a:extLst>
            <a:ext uri="{FF2B5EF4-FFF2-40B4-BE49-F238E27FC236}">
              <a16:creationId xmlns:a16="http://schemas.microsoft.com/office/drawing/2014/main" id="{052E3ECE-3493-4301-A35E-574886977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4" name="Picture 1">
          <a:extLst>
            <a:ext uri="{FF2B5EF4-FFF2-40B4-BE49-F238E27FC236}">
              <a16:creationId xmlns:a16="http://schemas.microsoft.com/office/drawing/2014/main" id="{E42ADEF0-B092-4856-A2ED-CCD87EC9B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5" name="Picture 1">
          <a:extLst>
            <a:ext uri="{FF2B5EF4-FFF2-40B4-BE49-F238E27FC236}">
              <a16:creationId xmlns:a16="http://schemas.microsoft.com/office/drawing/2014/main" id="{E7274698-A70F-4F2F-BAE6-E1BAE1743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6" name="Picture 1">
          <a:extLst>
            <a:ext uri="{FF2B5EF4-FFF2-40B4-BE49-F238E27FC236}">
              <a16:creationId xmlns:a16="http://schemas.microsoft.com/office/drawing/2014/main" id="{6F8B928D-5BB3-4508-8657-3FF998D1A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7" name="Picture 1">
          <a:extLst>
            <a:ext uri="{FF2B5EF4-FFF2-40B4-BE49-F238E27FC236}">
              <a16:creationId xmlns:a16="http://schemas.microsoft.com/office/drawing/2014/main" id="{92DF84B0-36F3-40EE-8725-86BA2F8B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8" name="Picture 1">
          <a:extLst>
            <a:ext uri="{FF2B5EF4-FFF2-40B4-BE49-F238E27FC236}">
              <a16:creationId xmlns:a16="http://schemas.microsoft.com/office/drawing/2014/main" id="{15A03B40-074D-4867-9959-BA1A227B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79" name="Picture 1">
          <a:extLst>
            <a:ext uri="{FF2B5EF4-FFF2-40B4-BE49-F238E27FC236}">
              <a16:creationId xmlns:a16="http://schemas.microsoft.com/office/drawing/2014/main" id="{7C401409-0C7E-4055-A895-75A272E1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0" name="Picture 1">
          <a:extLst>
            <a:ext uri="{FF2B5EF4-FFF2-40B4-BE49-F238E27FC236}">
              <a16:creationId xmlns:a16="http://schemas.microsoft.com/office/drawing/2014/main" id="{0DA94FF8-FD74-4FA6-ADFF-206734FA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1" name="Picture 1">
          <a:extLst>
            <a:ext uri="{FF2B5EF4-FFF2-40B4-BE49-F238E27FC236}">
              <a16:creationId xmlns:a16="http://schemas.microsoft.com/office/drawing/2014/main" id="{2B2890CB-BCCB-43CD-95DB-CCBF62F0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2" name="Picture 1">
          <a:extLst>
            <a:ext uri="{FF2B5EF4-FFF2-40B4-BE49-F238E27FC236}">
              <a16:creationId xmlns:a16="http://schemas.microsoft.com/office/drawing/2014/main" id="{FC6349BF-39E1-44E5-B005-AD16CD0A7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3" name="Picture 1">
          <a:extLst>
            <a:ext uri="{FF2B5EF4-FFF2-40B4-BE49-F238E27FC236}">
              <a16:creationId xmlns:a16="http://schemas.microsoft.com/office/drawing/2014/main" id="{A1495520-1532-4D2C-9F04-D0CD8B22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4" name="Picture 1">
          <a:extLst>
            <a:ext uri="{FF2B5EF4-FFF2-40B4-BE49-F238E27FC236}">
              <a16:creationId xmlns:a16="http://schemas.microsoft.com/office/drawing/2014/main" id="{9CD29677-63B4-465E-91B6-1F861169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5" name="Picture 1">
          <a:extLst>
            <a:ext uri="{FF2B5EF4-FFF2-40B4-BE49-F238E27FC236}">
              <a16:creationId xmlns:a16="http://schemas.microsoft.com/office/drawing/2014/main" id="{2933CD5A-7C72-423E-B467-D2D3F86A0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6" name="Picture 1">
          <a:extLst>
            <a:ext uri="{FF2B5EF4-FFF2-40B4-BE49-F238E27FC236}">
              <a16:creationId xmlns:a16="http://schemas.microsoft.com/office/drawing/2014/main" id="{46D56FA0-3541-4347-A2A4-34D4C7AD2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7" name="Picture 1">
          <a:extLst>
            <a:ext uri="{FF2B5EF4-FFF2-40B4-BE49-F238E27FC236}">
              <a16:creationId xmlns:a16="http://schemas.microsoft.com/office/drawing/2014/main" id="{52B428E7-0637-467B-8FD3-DF046DE1D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8" name="Picture 1">
          <a:extLst>
            <a:ext uri="{FF2B5EF4-FFF2-40B4-BE49-F238E27FC236}">
              <a16:creationId xmlns:a16="http://schemas.microsoft.com/office/drawing/2014/main" id="{BF3BC8E2-926B-42F5-9A72-97B8498C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89" name="Picture 1">
          <a:extLst>
            <a:ext uri="{FF2B5EF4-FFF2-40B4-BE49-F238E27FC236}">
              <a16:creationId xmlns:a16="http://schemas.microsoft.com/office/drawing/2014/main" id="{F3D34ECE-38FA-4C7C-B564-AF25B7C8A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0" name="Picture 1">
          <a:extLst>
            <a:ext uri="{FF2B5EF4-FFF2-40B4-BE49-F238E27FC236}">
              <a16:creationId xmlns:a16="http://schemas.microsoft.com/office/drawing/2014/main" id="{16825C40-3F75-4851-8FFF-C4C3CE8C5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1" name="Picture 1">
          <a:extLst>
            <a:ext uri="{FF2B5EF4-FFF2-40B4-BE49-F238E27FC236}">
              <a16:creationId xmlns:a16="http://schemas.microsoft.com/office/drawing/2014/main" id="{026E032C-A868-4E9C-9D30-81E209635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2" name="Picture 1">
          <a:extLst>
            <a:ext uri="{FF2B5EF4-FFF2-40B4-BE49-F238E27FC236}">
              <a16:creationId xmlns:a16="http://schemas.microsoft.com/office/drawing/2014/main" id="{EF36117B-62FA-4D4C-8169-7A3383FB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3" name="Picture 1">
          <a:extLst>
            <a:ext uri="{FF2B5EF4-FFF2-40B4-BE49-F238E27FC236}">
              <a16:creationId xmlns:a16="http://schemas.microsoft.com/office/drawing/2014/main" id="{2F56EAF7-E0E2-4B6F-9149-9846A2F6A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4" name="Picture 1">
          <a:extLst>
            <a:ext uri="{FF2B5EF4-FFF2-40B4-BE49-F238E27FC236}">
              <a16:creationId xmlns:a16="http://schemas.microsoft.com/office/drawing/2014/main" id="{D52A8F46-AA9F-437F-8447-27BF0D689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5" name="Picture 1">
          <a:extLst>
            <a:ext uri="{FF2B5EF4-FFF2-40B4-BE49-F238E27FC236}">
              <a16:creationId xmlns:a16="http://schemas.microsoft.com/office/drawing/2014/main" id="{797B4F92-1FD8-42C7-AA0C-00F21E1CE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6" name="Picture 1">
          <a:extLst>
            <a:ext uri="{FF2B5EF4-FFF2-40B4-BE49-F238E27FC236}">
              <a16:creationId xmlns:a16="http://schemas.microsoft.com/office/drawing/2014/main" id="{60DF737D-837B-4C44-BC62-A5F248F6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7" name="Picture 1">
          <a:extLst>
            <a:ext uri="{FF2B5EF4-FFF2-40B4-BE49-F238E27FC236}">
              <a16:creationId xmlns:a16="http://schemas.microsoft.com/office/drawing/2014/main" id="{BA671673-BB87-40AC-AFEC-B94AF544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8" name="Picture 1">
          <a:extLst>
            <a:ext uri="{FF2B5EF4-FFF2-40B4-BE49-F238E27FC236}">
              <a16:creationId xmlns:a16="http://schemas.microsoft.com/office/drawing/2014/main" id="{488B441C-A425-4A9B-BEDC-5E9EE0E08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899" name="Picture 1">
          <a:extLst>
            <a:ext uri="{FF2B5EF4-FFF2-40B4-BE49-F238E27FC236}">
              <a16:creationId xmlns:a16="http://schemas.microsoft.com/office/drawing/2014/main" id="{8806CA9A-BD1E-4337-A57B-F8841073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900" name="Picture 1">
          <a:extLst>
            <a:ext uri="{FF2B5EF4-FFF2-40B4-BE49-F238E27FC236}">
              <a16:creationId xmlns:a16="http://schemas.microsoft.com/office/drawing/2014/main" id="{648EF23D-34BE-49F9-BAA9-FE70EA4EC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901" name="Picture 1">
          <a:extLst>
            <a:ext uri="{FF2B5EF4-FFF2-40B4-BE49-F238E27FC236}">
              <a16:creationId xmlns:a16="http://schemas.microsoft.com/office/drawing/2014/main" id="{125D246F-E35F-4E25-BFF2-76CCF3874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2" name="Picture 1">
          <a:extLst>
            <a:ext uri="{FF2B5EF4-FFF2-40B4-BE49-F238E27FC236}">
              <a16:creationId xmlns:a16="http://schemas.microsoft.com/office/drawing/2014/main" id="{C8E9C914-3E45-4A54-BE49-4953F6420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3" name="Picture 1">
          <a:extLst>
            <a:ext uri="{FF2B5EF4-FFF2-40B4-BE49-F238E27FC236}">
              <a16:creationId xmlns:a16="http://schemas.microsoft.com/office/drawing/2014/main" id="{4384E907-F700-4A7E-ACD5-2213AD34A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4" name="Picture 1">
          <a:extLst>
            <a:ext uri="{FF2B5EF4-FFF2-40B4-BE49-F238E27FC236}">
              <a16:creationId xmlns:a16="http://schemas.microsoft.com/office/drawing/2014/main" id="{9D3124E0-7CCC-44DA-B3D7-12F6D9D41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5" name="Picture 1">
          <a:extLst>
            <a:ext uri="{FF2B5EF4-FFF2-40B4-BE49-F238E27FC236}">
              <a16:creationId xmlns:a16="http://schemas.microsoft.com/office/drawing/2014/main" id="{61DF5F7B-3DF7-4272-84F1-4102E39C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6" name="Picture 1">
          <a:extLst>
            <a:ext uri="{FF2B5EF4-FFF2-40B4-BE49-F238E27FC236}">
              <a16:creationId xmlns:a16="http://schemas.microsoft.com/office/drawing/2014/main" id="{58D8217D-834C-485D-AF78-170E5B99E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7" name="Picture 1">
          <a:extLst>
            <a:ext uri="{FF2B5EF4-FFF2-40B4-BE49-F238E27FC236}">
              <a16:creationId xmlns:a16="http://schemas.microsoft.com/office/drawing/2014/main" id="{D76C3CAA-12F9-4388-88DF-21BD27E1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8" name="Picture 1">
          <a:extLst>
            <a:ext uri="{FF2B5EF4-FFF2-40B4-BE49-F238E27FC236}">
              <a16:creationId xmlns:a16="http://schemas.microsoft.com/office/drawing/2014/main" id="{C37F1592-3FB6-43A2-9A6C-F435DC6C3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09" name="Picture 1">
          <a:extLst>
            <a:ext uri="{FF2B5EF4-FFF2-40B4-BE49-F238E27FC236}">
              <a16:creationId xmlns:a16="http://schemas.microsoft.com/office/drawing/2014/main" id="{30BE4B43-F06A-4B6C-8630-E87A05898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0" name="Picture 1">
          <a:extLst>
            <a:ext uri="{FF2B5EF4-FFF2-40B4-BE49-F238E27FC236}">
              <a16:creationId xmlns:a16="http://schemas.microsoft.com/office/drawing/2014/main" id="{00037F1A-A18B-488F-AA46-F374E9552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1" name="Picture 1">
          <a:extLst>
            <a:ext uri="{FF2B5EF4-FFF2-40B4-BE49-F238E27FC236}">
              <a16:creationId xmlns:a16="http://schemas.microsoft.com/office/drawing/2014/main" id="{A349DB29-1F6E-4621-8E5C-F2D220C6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2" name="Picture 1">
          <a:extLst>
            <a:ext uri="{FF2B5EF4-FFF2-40B4-BE49-F238E27FC236}">
              <a16:creationId xmlns:a16="http://schemas.microsoft.com/office/drawing/2014/main" id="{BD4C9B28-897B-4FAA-B3DE-63E00232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3" name="Picture 1">
          <a:extLst>
            <a:ext uri="{FF2B5EF4-FFF2-40B4-BE49-F238E27FC236}">
              <a16:creationId xmlns:a16="http://schemas.microsoft.com/office/drawing/2014/main" id="{10977B63-82B1-4891-B278-804EABBA4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4" name="Picture 1">
          <a:extLst>
            <a:ext uri="{FF2B5EF4-FFF2-40B4-BE49-F238E27FC236}">
              <a16:creationId xmlns:a16="http://schemas.microsoft.com/office/drawing/2014/main" id="{863F6FDF-9724-42D6-922B-45C785ABC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5" name="Picture 1">
          <a:extLst>
            <a:ext uri="{FF2B5EF4-FFF2-40B4-BE49-F238E27FC236}">
              <a16:creationId xmlns:a16="http://schemas.microsoft.com/office/drawing/2014/main" id="{4EAF31B2-3B92-47CD-AB69-F331A359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6" name="Picture 1">
          <a:extLst>
            <a:ext uri="{FF2B5EF4-FFF2-40B4-BE49-F238E27FC236}">
              <a16:creationId xmlns:a16="http://schemas.microsoft.com/office/drawing/2014/main" id="{7D42446A-AD0B-438D-A6DC-88E7943B9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7" name="Picture 1">
          <a:extLst>
            <a:ext uri="{FF2B5EF4-FFF2-40B4-BE49-F238E27FC236}">
              <a16:creationId xmlns:a16="http://schemas.microsoft.com/office/drawing/2014/main" id="{CB0582B1-259F-4F3C-BB96-B42D151FE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8" name="Picture 1">
          <a:extLst>
            <a:ext uri="{FF2B5EF4-FFF2-40B4-BE49-F238E27FC236}">
              <a16:creationId xmlns:a16="http://schemas.microsoft.com/office/drawing/2014/main" id="{4D9A4244-CCFA-4105-9B71-C63C2D47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19" name="Picture 1">
          <a:extLst>
            <a:ext uri="{FF2B5EF4-FFF2-40B4-BE49-F238E27FC236}">
              <a16:creationId xmlns:a16="http://schemas.microsoft.com/office/drawing/2014/main" id="{C3A59717-0C1A-4069-A4E8-3E02125F8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0" name="Picture 1">
          <a:extLst>
            <a:ext uri="{FF2B5EF4-FFF2-40B4-BE49-F238E27FC236}">
              <a16:creationId xmlns:a16="http://schemas.microsoft.com/office/drawing/2014/main" id="{B3A919EB-1692-4584-9321-DC4D54D6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1" name="Picture 1">
          <a:extLst>
            <a:ext uri="{FF2B5EF4-FFF2-40B4-BE49-F238E27FC236}">
              <a16:creationId xmlns:a16="http://schemas.microsoft.com/office/drawing/2014/main" id="{E533AE7C-2DD5-4F5F-BB19-13826068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2" name="Picture 1">
          <a:extLst>
            <a:ext uri="{FF2B5EF4-FFF2-40B4-BE49-F238E27FC236}">
              <a16:creationId xmlns:a16="http://schemas.microsoft.com/office/drawing/2014/main" id="{193C57FE-BE95-409C-9D8B-48D5F31E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3" name="Picture 1">
          <a:extLst>
            <a:ext uri="{FF2B5EF4-FFF2-40B4-BE49-F238E27FC236}">
              <a16:creationId xmlns:a16="http://schemas.microsoft.com/office/drawing/2014/main" id="{F15A4060-DC2C-4777-80BF-CC118E627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4" name="Picture 1">
          <a:extLst>
            <a:ext uri="{FF2B5EF4-FFF2-40B4-BE49-F238E27FC236}">
              <a16:creationId xmlns:a16="http://schemas.microsoft.com/office/drawing/2014/main" id="{08A164FA-70F5-4526-8666-9F4A353B1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5" name="Picture 1">
          <a:extLst>
            <a:ext uri="{FF2B5EF4-FFF2-40B4-BE49-F238E27FC236}">
              <a16:creationId xmlns:a16="http://schemas.microsoft.com/office/drawing/2014/main" id="{83A38BA7-D460-4BAE-8236-5E281829F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6" name="Picture 1">
          <a:extLst>
            <a:ext uri="{FF2B5EF4-FFF2-40B4-BE49-F238E27FC236}">
              <a16:creationId xmlns:a16="http://schemas.microsoft.com/office/drawing/2014/main" id="{853AB638-9097-4B36-B56A-E8E7457A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7" name="Picture 1">
          <a:extLst>
            <a:ext uri="{FF2B5EF4-FFF2-40B4-BE49-F238E27FC236}">
              <a16:creationId xmlns:a16="http://schemas.microsoft.com/office/drawing/2014/main" id="{C1E6D5D1-32FE-4874-8846-ED2FAD0D7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8" name="Picture 1">
          <a:extLst>
            <a:ext uri="{FF2B5EF4-FFF2-40B4-BE49-F238E27FC236}">
              <a16:creationId xmlns:a16="http://schemas.microsoft.com/office/drawing/2014/main" id="{3051E1C2-1748-41E2-831B-F2C64D12F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29" name="Picture 1">
          <a:extLst>
            <a:ext uri="{FF2B5EF4-FFF2-40B4-BE49-F238E27FC236}">
              <a16:creationId xmlns:a16="http://schemas.microsoft.com/office/drawing/2014/main" id="{F8FF2326-4687-45C5-A142-63BED2F35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930" name="Picture 1">
          <a:extLst>
            <a:ext uri="{FF2B5EF4-FFF2-40B4-BE49-F238E27FC236}">
              <a16:creationId xmlns:a16="http://schemas.microsoft.com/office/drawing/2014/main" id="{7EB3D203-F409-463A-BAA2-669F36D1E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1" name="Picture 1">
          <a:extLst>
            <a:ext uri="{FF2B5EF4-FFF2-40B4-BE49-F238E27FC236}">
              <a16:creationId xmlns:a16="http://schemas.microsoft.com/office/drawing/2014/main" id="{E8394B73-D320-4612-8FCA-436E41914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2" name="Picture 1">
          <a:extLst>
            <a:ext uri="{FF2B5EF4-FFF2-40B4-BE49-F238E27FC236}">
              <a16:creationId xmlns:a16="http://schemas.microsoft.com/office/drawing/2014/main" id="{1A34DDCE-1DD0-474D-9604-F82E7E8EE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3" name="Picture 1">
          <a:extLst>
            <a:ext uri="{FF2B5EF4-FFF2-40B4-BE49-F238E27FC236}">
              <a16:creationId xmlns:a16="http://schemas.microsoft.com/office/drawing/2014/main" id="{8D47E1C6-7D97-4431-928B-C2680674C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4" name="Picture 1">
          <a:extLst>
            <a:ext uri="{FF2B5EF4-FFF2-40B4-BE49-F238E27FC236}">
              <a16:creationId xmlns:a16="http://schemas.microsoft.com/office/drawing/2014/main" id="{B0388381-201E-41B1-9D0B-E784E2E92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5" name="Picture 1">
          <a:extLst>
            <a:ext uri="{FF2B5EF4-FFF2-40B4-BE49-F238E27FC236}">
              <a16:creationId xmlns:a16="http://schemas.microsoft.com/office/drawing/2014/main" id="{1D582F21-A1BA-404E-B725-5E73104E4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6" name="Picture 1">
          <a:extLst>
            <a:ext uri="{FF2B5EF4-FFF2-40B4-BE49-F238E27FC236}">
              <a16:creationId xmlns:a16="http://schemas.microsoft.com/office/drawing/2014/main" id="{35DA4308-132C-481D-92A4-11BC35571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7" name="Picture 1">
          <a:extLst>
            <a:ext uri="{FF2B5EF4-FFF2-40B4-BE49-F238E27FC236}">
              <a16:creationId xmlns:a16="http://schemas.microsoft.com/office/drawing/2014/main" id="{ABF8B008-23B8-44C2-8806-DD020369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8" name="Picture 1">
          <a:extLst>
            <a:ext uri="{FF2B5EF4-FFF2-40B4-BE49-F238E27FC236}">
              <a16:creationId xmlns:a16="http://schemas.microsoft.com/office/drawing/2014/main" id="{DBC28A7B-5337-4E72-9ED3-F279A6EA6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39" name="Picture 1">
          <a:extLst>
            <a:ext uri="{FF2B5EF4-FFF2-40B4-BE49-F238E27FC236}">
              <a16:creationId xmlns:a16="http://schemas.microsoft.com/office/drawing/2014/main" id="{F32A1E93-887F-4675-A7A5-5ABFF0EED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0" name="Picture 1">
          <a:extLst>
            <a:ext uri="{FF2B5EF4-FFF2-40B4-BE49-F238E27FC236}">
              <a16:creationId xmlns:a16="http://schemas.microsoft.com/office/drawing/2014/main" id="{A681A5ED-BE22-4358-B7D2-5DDC5104D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1" name="Picture 1">
          <a:extLst>
            <a:ext uri="{FF2B5EF4-FFF2-40B4-BE49-F238E27FC236}">
              <a16:creationId xmlns:a16="http://schemas.microsoft.com/office/drawing/2014/main" id="{A83714AF-E973-498C-BDF2-AA3B86F9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2" name="Picture 1">
          <a:extLst>
            <a:ext uri="{FF2B5EF4-FFF2-40B4-BE49-F238E27FC236}">
              <a16:creationId xmlns:a16="http://schemas.microsoft.com/office/drawing/2014/main" id="{2A6D5533-0153-4156-9BE7-57DC2C205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3" name="Picture 1">
          <a:extLst>
            <a:ext uri="{FF2B5EF4-FFF2-40B4-BE49-F238E27FC236}">
              <a16:creationId xmlns:a16="http://schemas.microsoft.com/office/drawing/2014/main" id="{14720500-C37E-4B01-ABA5-A36FCDE6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4" name="Picture 1">
          <a:extLst>
            <a:ext uri="{FF2B5EF4-FFF2-40B4-BE49-F238E27FC236}">
              <a16:creationId xmlns:a16="http://schemas.microsoft.com/office/drawing/2014/main" id="{B1207854-53E7-4DD8-AF01-9B3D572A1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5" name="Picture 1">
          <a:extLst>
            <a:ext uri="{FF2B5EF4-FFF2-40B4-BE49-F238E27FC236}">
              <a16:creationId xmlns:a16="http://schemas.microsoft.com/office/drawing/2014/main" id="{64B8CDB6-8CD2-4198-9A17-E110F457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6" name="Picture 1">
          <a:extLst>
            <a:ext uri="{FF2B5EF4-FFF2-40B4-BE49-F238E27FC236}">
              <a16:creationId xmlns:a16="http://schemas.microsoft.com/office/drawing/2014/main" id="{15BB7277-94E5-452B-ACD1-838B9851B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7" name="Picture 1">
          <a:extLst>
            <a:ext uri="{FF2B5EF4-FFF2-40B4-BE49-F238E27FC236}">
              <a16:creationId xmlns:a16="http://schemas.microsoft.com/office/drawing/2014/main" id="{DE104205-9EFF-4B12-8AF0-C1B0E3B8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8" name="Picture 1">
          <a:extLst>
            <a:ext uri="{FF2B5EF4-FFF2-40B4-BE49-F238E27FC236}">
              <a16:creationId xmlns:a16="http://schemas.microsoft.com/office/drawing/2014/main" id="{D8F088FB-3626-46A8-981F-06A0FFE5F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49" name="Picture 1">
          <a:extLst>
            <a:ext uri="{FF2B5EF4-FFF2-40B4-BE49-F238E27FC236}">
              <a16:creationId xmlns:a16="http://schemas.microsoft.com/office/drawing/2014/main" id="{722CC73F-3A71-493F-BC86-FAF51A493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0" name="Picture 1">
          <a:extLst>
            <a:ext uri="{FF2B5EF4-FFF2-40B4-BE49-F238E27FC236}">
              <a16:creationId xmlns:a16="http://schemas.microsoft.com/office/drawing/2014/main" id="{E8EA710E-55C9-42B6-B783-AE6AC5B50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1" name="Picture 1">
          <a:extLst>
            <a:ext uri="{FF2B5EF4-FFF2-40B4-BE49-F238E27FC236}">
              <a16:creationId xmlns:a16="http://schemas.microsoft.com/office/drawing/2014/main" id="{B56D45B7-A254-4952-9771-101E10BF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2" name="Picture 1">
          <a:extLst>
            <a:ext uri="{FF2B5EF4-FFF2-40B4-BE49-F238E27FC236}">
              <a16:creationId xmlns:a16="http://schemas.microsoft.com/office/drawing/2014/main" id="{156219FC-B24B-4413-8D6F-14D488734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3" name="Picture 1">
          <a:extLst>
            <a:ext uri="{FF2B5EF4-FFF2-40B4-BE49-F238E27FC236}">
              <a16:creationId xmlns:a16="http://schemas.microsoft.com/office/drawing/2014/main" id="{A5B314C9-FD3B-4F81-AA5A-84320E3B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4" name="Picture 1">
          <a:extLst>
            <a:ext uri="{FF2B5EF4-FFF2-40B4-BE49-F238E27FC236}">
              <a16:creationId xmlns:a16="http://schemas.microsoft.com/office/drawing/2014/main" id="{136F14BD-72C2-4C9E-BDBB-276412FF8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5" name="Picture 1">
          <a:extLst>
            <a:ext uri="{FF2B5EF4-FFF2-40B4-BE49-F238E27FC236}">
              <a16:creationId xmlns:a16="http://schemas.microsoft.com/office/drawing/2014/main" id="{3F5F5288-DCEE-4BC4-B46E-F8A502638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6" name="Picture 1">
          <a:extLst>
            <a:ext uri="{FF2B5EF4-FFF2-40B4-BE49-F238E27FC236}">
              <a16:creationId xmlns:a16="http://schemas.microsoft.com/office/drawing/2014/main" id="{0BAF7B9B-E50F-4613-96E2-A50EB8149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7" name="Picture 1">
          <a:extLst>
            <a:ext uri="{FF2B5EF4-FFF2-40B4-BE49-F238E27FC236}">
              <a16:creationId xmlns:a16="http://schemas.microsoft.com/office/drawing/2014/main" id="{C134BB95-2BFD-4507-AE7B-AF1111B4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8" name="Picture 1">
          <a:extLst>
            <a:ext uri="{FF2B5EF4-FFF2-40B4-BE49-F238E27FC236}">
              <a16:creationId xmlns:a16="http://schemas.microsoft.com/office/drawing/2014/main" id="{F6DF0DDA-5A33-47FC-848B-5ED416D08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959" name="Picture 1">
          <a:extLst>
            <a:ext uri="{FF2B5EF4-FFF2-40B4-BE49-F238E27FC236}">
              <a16:creationId xmlns:a16="http://schemas.microsoft.com/office/drawing/2014/main" id="{5C0668E9-75E2-4794-AF80-7B8C22B4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0" name="Picture 1">
          <a:extLst>
            <a:ext uri="{FF2B5EF4-FFF2-40B4-BE49-F238E27FC236}">
              <a16:creationId xmlns:a16="http://schemas.microsoft.com/office/drawing/2014/main" id="{9758324B-8940-40A0-8A79-D6F29FC04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1" name="Picture 1">
          <a:extLst>
            <a:ext uri="{FF2B5EF4-FFF2-40B4-BE49-F238E27FC236}">
              <a16:creationId xmlns:a16="http://schemas.microsoft.com/office/drawing/2014/main" id="{738AB6C2-F926-4277-91FF-5A7F8A95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2" name="Picture 1">
          <a:extLst>
            <a:ext uri="{FF2B5EF4-FFF2-40B4-BE49-F238E27FC236}">
              <a16:creationId xmlns:a16="http://schemas.microsoft.com/office/drawing/2014/main" id="{B603FB63-F87A-4015-90CB-DBBC73D40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3" name="Picture 1">
          <a:extLst>
            <a:ext uri="{FF2B5EF4-FFF2-40B4-BE49-F238E27FC236}">
              <a16:creationId xmlns:a16="http://schemas.microsoft.com/office/drawing/2014/main" id="{4C26448A-2608-47EE-B4E8-76744E364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4" name="Picture 1">
          <a:extLst>
            <a:ext uri="{FF2B5EF4-FFF2-40B4-BE49-F238E27FC236}">
              <a16:creationId xmlns:a16="http://schemas.microsoft.com/office/drawing/2014/main" id="{66551DB2-C11C-4C50-BDF7-6BFC94A3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5" name="Picture 1">
          <a:extLst>
            <a:ext uri="{FF2B5EF4-FFF2-40B4-BE49-F238E27FC236}">
              <a16:creationId xmlns:a16="http://schemas.microsoft.com/office/drawing/2014/main" id="{77BB7B4C-6CA7-41A3-8A6A-397865AF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6" name="Picture 1">
          <a:extLst>
            <a:ext uri="{FF2B5EF4-FFF2-40B4-BE49-F238E27FC236}">
              <a16:creationId xmlns:a16="http://schemas.microsoft.com/office/drawing/2014/main" id="{8B3F8153-9D8B-49A6-A75A-7D6E91F26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967" name="Picture 1">
          <a:extLst>
            <a:ext uri="{FF2B5EF4-FFF2-40B4-BE49-F238E27FC236}">
              <a16:creationId xmlns:a16="http://schemas.microsoft.com/office/drawing/2014/main" id="{D9F001EE-E66D-468B-A998-154DB5047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68" name="Picture 1">
          <a:extLst>
            <a:ext uri="{FF2B5EF4-FFF2-40B4-BE49-F238E27FC236}">
              <a16:creationId xmlns:a16="http://schemas.microsoft.com/office/drawing/2014/main" id="{B5134C6D-E48E-4DDF-B403-B779528BC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69" name="Picture 1">
          <a:extLst>
            <a:ext uri="{FF2B5EF4-FFF2-40B4-BE49-F238E27FC236}">
              <a16:creationId xmlns:a16="http://schemas.microsoft.com/office/drawing/2014/main" id="{5BD175C1-9AAA-4DE0-A1B3-46E0CE5F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70" name="Picture 1">
          <a:extLst>
            <a:ext uri="{FF2B5EF4-FFF2-40B4-BE49-F238E27FC236}">
              <a16:creationId xmlns:a16="http://schemas.microsoft.com/office/drawing/2014/main" id="{C2A10BF9-99C1-4B5D-8472-5AC589304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71" name="Picture 1">
          <a:extLst>
            <a:ext uri="{FF2B5EF4-FFF2-40B4-BE49-F238E27FC236}">
              <a16:creationId xmlns:a16="http://schemas.microsoft.com/office/drawing/2014/main" id="{CFA97A59-CDBB-45D6-9B9B-3C8CD6E8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72" name="Picture 1">
          <a:extLst>
            <a:ext uri="{FF2B5EF4-FFF2-40B4-BE49-F238E27FC236}">
              <a16:creationId xmlns:a16="http://schemas.microsoft.com/office/drawing/2014/main" id="{29A10214-5947-4DDE-B992-E9285BE8E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73" name="Picture 1">
          <a:extLst>
            <a:ext uri="{FF2B5EF4-FFF2-40B4-BE49-F238E27FC236}">
              <a16:creationId xmlns:a16="http://schemas.microsoft.com/office/drawing/2014/main" id="{580A56C4-779B-4246-AFE6-FFDE65D77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974" name="Picture 1">
          <a:extLst>
            <a:ext uri="{FF2B5EF4-FFF2-40B4-BE49-F238E27FC236}">
              <a16:creationId xmlns:a16="http://schemas.microsoft.com/office/drawing/2014/main" id="{5DACBC15-95C6-481A-97FD-F161B6471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75" name="Picture 1">
          <a:extLst>
            <a:ext uri="{FF2B5EF4-FFF2-40B4-BE49-F238E27FC236}">
              <a16:creationId xmlns:a16="http://schemas.microsoft.com/office/drawing/2014/main" id="{1615F9E6-5F08-4645-BCD1-9FCEFCD9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76" name="Picture 1">
          <a:extLst>
            <a:ext uri="{FF2B5EF4-FFF2-40B4-BE49-F238E27FC236}">
              <a16:creationId xmlns:a16="http://schemas.microsoft.com/office/drawing/2014/main" id="{A327771A-0115-4122-8E3A-E8F5124A0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77" name="Picture 1">
          <a:extLst>
            <a:ext uri="{FF2B5EF4-FFF2-40B4-BE49-F238E27FC236}">
              <a16:creationId xmlns:a16="http://schemas.microsoft.com/office/drawing/2014/main" id="{68F26FDC-5BDD-4113-9EE6-F66E2433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78" name="Picture 1">
          <a:extLst>
            <a:ext uri="{FF2B5EF4-FFF2-40B4-BE49-F238E27FC236}">
              <a16:creationId xmlns:a16="http://schemas.microsoft.com/office/drawing/2014/main" id="{4D3A6987-7513-426A-ACE1-AB5A659BE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79" name="Picture 1">
          <a:extLst>
            <a:ext uri="{FF2B5EF4-FFF2-40B4-BE49-F238E27FC236}">
              <a16:creationId xmlns:a16="http://schemas.microsoft.com/office/drawing/2014/main" id="{1232063F-C6AB-4E9B-AA80-93FE7393F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80" name="Picture 1">
          <a:extLst>
            <a:ext uri="{FF2B5EF4-FFF2-40B4-BE49-F238E27FC236}">
              <a16:creationId xmlns:a16="http://schemas.microsoft.com/office/drawing/2014/main" id="{E8A5369B-02BC-4F6A-9098-02C4CB523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981" name="Picture 1">
          <a:extLst>
            <a:ext uri="{FF2B5EF4-FFF2-40B4-BE49-F238E27FC236}">
              <a16:creationId xmlns:a16="http://schemas.microsoft.com/office/drawing/2014/main" id="{131DB00C-7C18-4462-A0B0-73320907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2" name="Picture 1">
          <a:extLst>
            <a:ext uri="{FF2B5EF4-FFF2-40B4-BE49-F238E27FC236}">
              <a16:creationId xmlns:a16="http://schemas.microsoft.com/office/drawing/2014/main" id="{C171B5F4-D280-4940-AC79-A63B1D1C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3" name="Picture 1">
          <a:extLst>
            <a:ext uri="{FF2B5EF4-FFF2-40B4-BE49-F238E27FC236}">
              <a16:creationId xmlns:a16="http://schemas.microsoft.com/office/drawing/2014/main" id="{E2930523-F9D9-4C60-A4F7-6E0B48C87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4" name="Picture 1">
          <a:extLst>
            <a:ext uri="{FF2B5EF4-FFF2-40B4-BE49-F238E27FC236}">
              <a16:creationId xmlns:a16="http://schemas.microsoft.com/office/drawing/2014/main" id="{68F13E4A-F9E9-4F46-A13F-8A2200F1B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5" name="Picture 1">
          <a:extLst>
            <a:ext uri="{FF2B5EF4-FFF2-40B4-BE49-F238E27FC236}">
              <a16:creationId xmlns:a16="http://schemas.microsoft.com/office/drawing/2014/main" id="{C7364D56-1DD4-42D6-84FA-64930AB3F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6" name="Picture 1">
          <a:extLst>
            <a:ext uri="{FF2B5EF4-FFF2-40B4-BE49-F238E27FC236}">
              <a16:creationId xmlns:a16="http://schemas.microsoft.com/office/drawing/2014/main" id="{99E99F4F-558F-4D89-86DE-D4461DAC6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7" name="Picture 1">
          <a:extLst>
            <a:ext uri="{FF2B5EF4-FFF2-40B4-BE49-F238E27FC236}">
              <a16:creationId xmlns:a16="http://schemas.microsoft.com/office/drawing/2014/main" id="{7BEA3BF2-D14D-4F8B-A4F6-B2C616217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8" name="Picture 1">
          <a:extLst>
            <a:ext uri="{FF2B5EF4-FFF2-40B4-BE49-F238E27FC236}">
              <a16:creationId xmlns:a16="http://schemas.microsoft.com/office/drawing/2014/main" id="{FB2A4692-5854-4613-964E-F7D8DC02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89" name="Picture 1">
          <a:extLst>
            <a:ext uri="{FF2B5EF4-FFF2-40B4-BE49-F238E27FC236}">
              <a16:creationId xmlns:a16="http://schemas.microsoft.com/office/drawing/2014/main" id="{DFDF5278-C984-488D-A988-CCB244B67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990" name="Picture 1">
          <a:extLst>
            <a:ext uri="{FF2B5EF4-FFF2-40B4-BE49-F238E27FC236}">
              <a16:creationId xmlns:a16="http://schemas.microsoft.com/office/drawing/2014/main" id="{D5DD8A9A-E464-47EF-A220-947D38F55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1" name="Picture 1">
          <a:extLst>
            <a:ext uri="{FF2B5EF4-FFF2-40B4-BE49-F238E27FC236}">
              <a16:creationId xmlns:a16="http://schemas.microsoft.com/office/drawing/2014/main" id="{CCD60BA6-8B67-4FC1-BCE9-35527549C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2" name="Picture 1">
          <a:extLst>
            <a:ext uri="{FF2B5EF4-FFF2-40B4-BE49-F238E27FC236}">
              <a16:creationId xmlns:a16="http://schemas.microsoft.com/office/drawing/2014/main" id="{F16409A9-8A66-4BAB-98F8-C29AE1238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3" name="Picture 1">
          <a:extLst>
            <a:ext uri="{FF2B5EF4-FFF2-40B4-BE49-F238E27FC236}">
              <a16:creationId xmlns:a16="http://schemas.microsoft.com/office/drawing/2014/main" id="{F72FE483-7F88-493B-B61B-C0D38F8C4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4" name="Picture 1">
          <a:extLst>
            <a:ext uri="{FF2B5EF4-FFF2-40B4-BE49-F238E27FC236}">
              <a16:creationId xmlns:a16="http://schemas.microsoft.com/office/drawing/2014/main" id="{B15DCF7D-5143-49D3-9460-A0D4F6857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5" name="Picture 1">
          <a:extLst>
            <a:ext uri="{FF2B5EF4-FFF2-40B4-BE49-F238E27FC236}">
              <a16:creationId xmlns:a16="http://schemas.microsoft.com/office/drawing/2014/main" id="{E6C7302B-4C01-4863-82D2-344854D8C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6" name="Picture 1">
          <a:extLst>
            <a:ext uri="{FF2B5EF4-FFF2-40B4-BE49-F238E27FC236}">
              <a16:creationId xmlns:a16="http://schemas.microsoft.com/office/drawing/2014/main" id="{ACCA3BEE-0B56-4A4C-8AA5-8D4B51D71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7" name="Picture 1">
          <a:extLst>
            <a:ext uri="{FF2B5EF4-FFF2-40B4-BE49-F238E27FC236}">
              <a16:creationId xmlns:a16="http://schemas.microsoft.com/office/drawing/2014/main" id="{0186FAA9-F8C2-4CDE-9D1A-DFA79C9C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8" name="Picture 1">
          <a:extLst>
            <a:ext uri="{FF2B5EF4-FFF2-40B4-BE49-F238E27FC236}">
              <a16:creationId xmlns:a16="http://schemas.microsoft.com/office/drawing/2014/main" id="{B80467D3-CE2D-4F54-9E1A-9716435CF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999" name="Picture 1">
          <a:extLst>
            <a:ext uri="{FF2B5EF4-FFF2-40B4-BE49-F238E27FC236}">
              <a16:creationId xmlns:a16="http://schemas.microsoft.com/office/drawing/2014/main" id="{F0AEC446-BA38-42D7-900F-F85EFC90E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0" name="Picture 1">
          <a:extLst>
            <a:ext uri="{FF2B5EF4-FFF2-40B4-BE49-F238E27FC236}">
              <a16:creationId xmlns:a16="http://schemas.microsoft.com/office/drawing/2014/main" id="{B682D04D-4073-4A37-8550-D58409148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1" name="Picture 1">
          <a:extLst>
            <a:ext uri="{FF2B5EF4-FFF2-40B4-BE49-F238E27FC236}">
              <a16:creationId xmlns:a16="http://schemas.microsoft.com/office/drawing/2014/main" id="{233318EC-F7FF-4D07-BB61-2456F632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2" name="Picture 1">
          <a:extLst>
            <a:ext uri="{FF2B5EF4-FFF2-40B4-BE49-F238E27FC236}">
              <a16:creationId xmlns:a16="http://schemas.microsoft.com/office/drawing/2014/main" id="{3B53FEE5-F9D1-43DB-8BD0-6FAE837C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3" name="Picture 1">
          <a:extLst>
            <a:ext uri="{FF2B5EF4-FFF2-40B4-BE49-F238E27FC236}">
              <a16:creationId xmlns:a16="http://schemas.microsoft.com/office/drawing/2014/main" id="{C1643E85-42C0-47D4-8F2B-F6C78392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4" name="Picture 1">
          <a:extLst>
            <a:ext uri="{FF2B5EF4-FFF2-40B4-BE49-F238E27FC236}">
              <a16:creationId xmlns:a16="http://schemas.microsoft.com/office/drawing/2014/main" id="{EBEB69E9-AF29-4458-8140-9BACCA239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5" name="Picture 1">
          <a:extLst>
            <a:ext uri="{FF2B5EF4-FFF2-40B4-BE49-F238E27FC236}">
              <a16:creationId xmlns:a16="http://schemas.microsoft.com/office/drawing/2014/main" id="{BCB61E79-EE53-4D39-AC0B-3D7942073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6" name="Picture 1">
          <a:extLst>
            <a:ext uri="{FF2B5EF4-FFF2-40B4-BE49-F238E27FC236}">
              <a16:creationId xmlns:a16="http://schemas.microsoft.com/office/drawing/2014/main" id="{69C0A70F-E41E-4D19-A312-94DAE0105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7" name="Picture 1">
          <a:extLst>
            <a:ext uri="{FF2B5EF4-FFF2-40B4-BE49-F238E27FC236}">
              <a16:creationId xmlns:a16="http://schemas.microsoft.com/office/drawing/2014/main" id="{FAA776A5-1723-4AB4-A619-B4A36040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008" name="Picture 1">
          <a:extLst>
            <a:ext uri="{FF2B5EF4-FFF2-40B4-BE49-F238E27FC236}">
              <a16:creationId xmlns:a16="http://schemas.microsoft.com/office/drawing/2014/main" id="{3EFEB7F5-968E-494C-BD0B-645B14CE3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09" name="Picture 1">
          <a:extLst>
            <a:ext uri="{FF2B5EF4-FFF2-40B4-BE49-F238E27FC236}">
              <a16:creationId xmlns:a16="http://schemas.microsoft.com/office/drawing/2014/main" id="{B259C3A6-B0D5-477D-B982-647805A9E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0" name="Picture 1">
          <a:extLst>
            <a:ext uri="{FF2B5EF4-FFF2-40B4-BE49-F238E27FC236}">
              <a16:creationId xmlns:a16="http://schemas.microsoft.com/office/drawing/2014/main" id="{168F13F4-A8B1-4992-AFE2-8BBEB01BA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1" name="Picture 1">
          <a:extLst>
            <a:ext uri="{FF2B5EF4-FFF2-40B4-BE49-F238E27FC236}">
              <a16:creationId xmlns:a16="http://schemas.microsoft.com/office/drawing/2014/main" id="{A4C49365-A034-45FE-9793-3E8D041B8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2" name="Picture 1">
          <a:extLst>
            <a:ext uri="{FF2B5EF4-FFF2-40B4-BE49-F238E27FC236}">
              <a16:creationId xmlns:a16="http://schemas.microsoft.com/office/drawing/2014/main" id="{F3CC3537-5709-4DC3-84A0-16C92312E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3" name="Picture 1">
          <a:extLst>
            <a:ext uri="{FF2B5EF4-FFF2-40B4-BE49-F238E27FC236}">
              <a16:creationId xmlns:a16="http://schemas.microsoft.com/office/drawing/2014/main" id="{D53870CB-FE51-4917-AC9D-FFC077576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4" name="Picture 1">
          <a:extLst>
            <a:ext uri="{FF2B5EF4-FFF2-40B4-BE49-F238E27FC236}">
              <a16:creationId xmlns:a16="http://schemas.microsoft.com/office/drawing/2014/main" id="{F10D18FD-D63F-409B-968C-B4A4900C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015" name="Picture 1">
          <a:extLst>
            <a:ext uri="{FF2B5EF4-FFF2-40B4-BE49-F238E27FC236}">
              <a16:creationId xmlns:a16="http://schemas.microsoft.com/office/drawing/2014/main" id="{E1E4CBD5-43EF-4834-A7BA-10A08836C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16" name="Picture 1">
          <a:extLst>
            <a:ext uri="{FF2B5EF4-FFF2-40B4-BE49-F238E27FC236}">
              <a16:creationId xmlns:a16="http://schemas.microsoft.com/office/drawing/2014/main" id="{DE7F6653-6226-40D1-A70C-0597FD2F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17" name="Picture 1">
          <a:extLst>
            <a:ext uri="{FF2B5EF4-FFF2-40B4-BE49-F238E27FC236}">
              <a16:creationId xmlns:a16="http://schemas.microsoft.com/office/drawing/2014/main" id="{D700F416-4CAE-4F44-A8CF-676C48CF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18" name="Picture 1">
          <a:extLst>
            <a:ext uri="{FF2B5EF4-FFF2-40B4-BE49-F238E27FC236}">
              <a16:creationId xmlns:a16="http://schemas.microsoft.com/office/drawing/2014/main" id="{C94C273D-5866-4B09-B0C1-D85650B5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19" name="Picture 1">
          <a:extLst>
            <a:ext uri="{FF2B5EF4-FFF2-40B4-BE49-F238E27FC236}">
              <a16:creationId xmlns:a16="http://schemas.microsoft.com/office/drawing/2014/main" id="{C998F512-50DA-4484-A166-2C4C58B2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20" name="Picture 1">
          <a:extLst>
            <a:ext uri="{FF2B5EF4-FFF2-40B4-BE49-F238E27FC236}">
              <a16:creationId xmlns:a16="http://schemas.microsoft.com/office/drawing/2014/main" id="{8F05E037-D8A0-44EF-9B8A-B754002C6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21" name="Picture 1">
          <a:extLst>
            <a:ext uri="{FF2B5EF4-FFF2-40B4-BE49-F238E27FC236}">
              <a16:creationId xmlns:a16="http://schemas.microsoft.com/office/drawing/2014/main" id="{42C5E483-4105-471D-8A56-02885C5E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22" name="Picture 1">
          <a:extLst>
            <a:ext uri="{FF2B5EF4-FFF2-40B4-BE49-F238E27FC236}">
              <a16:creationId xmlns:a16="http://schemas.microsoft.com/office/drawing/2014/main" id="{15198513-2D13-461D-8CE5-89E9E36C4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23" name="Picture 1">
          <a:extLst>
            <a:ext uri="{FF2B5EF4-FFF2-40B4-BE49-F238E27FC236}">
              <a16:creationId xmlns:a16="http://schemas.microsoft.com/office/drawing/2014/main" id="{FCB53938-D39A-4F45-B362-ECB715152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024" name="Picture 1">
          <a:extLst>
            <a:ext uri="{FF2B5EF4-FFF2-40B4-BE49-F238E27FC236}">
              <a16:creationId xmlns:a16="http://schemas.microsoft.com/office/drawing/2014/main" id="{8215467E-2435-4523-AFA6-B6B407C0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25" name="Picture 1">
          <a:extLst>
            <a:ext uri="{FF2B5EF4-FFF2-40B4-BE49-F238E27FC236}">
              <a16:creationId xmlns:a16="http://schemas.microsoft.com/office/drawing/2014/main" id="{F6892DCD-A8BE-4FCB-80A3-C724D5167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26" name="Picture 1">
          <a:extLst>
            <a:ext uri="{FF2B5EF4-FFF2-40B4-BE49-F238E27FC236}">
              <a16:creationId xmlns:a16="http://schemas.microsoft.com/office/drawing/2014/main" id="{08D6EA61-0287-41B4-B315-91DD2FE4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27" name="Picture 1">
          <a:extLst>
            <a:ext uri="{FF2B5EF4-FFF2-40B4-BE49-F238E27FC236}">
              <a16:creationId xmlns:a16="http://schemas.microsoft.com/office/drawing/2014/main" id="{5C4CCC13-AD20-46CC-A25D-317C3EB19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28" name="Picture 1">
          <a:extLst>
            <a:ext uri="{FF2B5EF4-FFF2-40B4-BE49-F238E27FC236}">
              <a16:creationId xmlns:a16="http://schemas.microsoft.com/office/drawing/2014/main" id="{97D6B17B-FAEB-4B91-8F0C-F85F44193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29" name="Picture 1">
          <a:extLst>
            <a:ext uri="{FF2B5EF4-FFF2-40B4-BE49-F238E27FC236}">
              <a16:creationId xmlns:a16="http://schemas.microsoft.com/office/drawing/2014/main" id="{64A5FE32-34D3-446B-8EDF-3537F643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0" name="Picture 1">
          <a:extLst>
            <a:ext uri="{FF2B5EF4-FFF2-40B4-BE49-F238E27FC236}">
              <a16:creationId xmlns:a16="http://schemas.microsoft.com/office/drawing/2014/main" id="{B95F3EE7-C204-44AC-A9EC-766665B4E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1" name="Picture 1">
          <a:extLst>
            <a:ext uri="{FF2B5EF4-FFF2-40B4-BE49-F238E27FC236}">
              <a16:creationId xmlns:a16="http://schemas.microsoft.com/office/drawing/2014/main" id="{CE799562-D94F-46CC-9AB7-021F6EEF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2" name="Picture 1">
          <a:extLst>
            <a:ext uri="{FF2B5EF4-FFF2-40B4-BE49-F238E27FC236}">
              <a16:creationId xmlns:a16="http://schemas.microsoft.com/office/drawing/2014/main" id="{F1462E50-9A7C-4E9D-AF13-7ED296C61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3" name="Picture 1">
          <a:extLst>
            <a:ext uri="{FF2B5EF4-FFF2-40B4-BE49-F238E27FC236}">
              <a16:creationId xmlns:a16="http://schemas.microsoft.com/office/drawing/2014/main" id="{17572276-DEC0-4A44-A895-8888A9BE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4" name="Picture 1">
          <a:extLst>
            <a:ext uri="{FF2B5EF4-FFF2-40B4-BE49-F238E27FC236}">
              <a16:creationId xmlns:a16="http://schemas.microsoft.com/office/drawing/2014/main" id="{48F708A8-E0BA-463A-B08A-3903E937D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5" name="Picture 1">
          <a:extLst>
            <a:ext uri="{FF2B5EF4-FFF2-40B4-BE49-F238E27FC236}">
              <a16:creationId xmlns:a16="http://schemas.microsoft.com/office/drawing/2014/main" id="{36EA0800-F0B4-4D0B-A761-6353277F4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6" name="Picture 1">
          <a:extLst>
            <a:ext uri="{FF2B5EF4-FFF2-40B4-BE49-F238E27FC236}">
              <a16:creationId xmlns:a16="http://schemas.microsoft.com/office/drawing/2014/main" id="{CD2ADD80-2B99-4071-AF2A-62A3F3803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7" name="Picture 1">
          <a:extLst>
            <a:ext uri="{FF2B5EF4-FFF2-40B4-BE49-F238E27FC236}">
              <a16:creationId xmlns:a16="http://schemas.microsoft.com/office/drawing/2014/main" id="{58C62B1B-F86C-45F4-B424-D2D2DE0C7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8" name="Picture 1">
          <a:extLst>
            <a:ext uri="{FF2B5EF4-FFF2-40B4-BE49-F238E27FC236}">
              <a16:creationId xmlns:a16="http://schemas.microsoft.com/office/drawing/2014/main" id="{F3B0125C-F170-478F-B476-894C491D0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39" name="Picture 1">
          <a:extLst>
            <a:ext uri="{FF2B5EF4-FFF2-40B4-BE49-F238E27FC236}">
              <a16:creationId xmlns:a16="http://schemas.microsoft.com/office/drawing/2014/main" id="{D3E31CD4-64E7-44CF-9FBC-93E03DB58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0" name="Picture 1">
          <a:extLst>
            <a:ext uri="{FF2B5EF4-FFF2-40B4-BE49-F238E27FC236}">
              <a16:creationId xmlns:a16="http://schemas.microsoft.com/office/drawing/2014/main" id="{9363C62F-6E2A-4985-A2B9-05E3956CE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1" name="Picture 1">
          <a:extLst>
            <a:ext uri="{FF2B5EF4-FFF2-40B4-BE49-F238E27FC236}">
              <a16:creationId xmlns:a16="http://schemas.microsoft.com/office/drawing/2014/main" id="{4880FAB8-DF15-4D72-9EC1-AD6B9DE23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2" name="Picture 1">
          <a:extLst>
            <a:ext uri="{FF2B5EF4-FFF2-40B4-BE49-F238E27FC236}">
              <a16:creationId xmlns:a16="http://schemas.microsoft.com/office/drawing/2014/main" id="{78348642-CC2C-4773-96CE-D84B79AA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3" name="Picture 1">
          <a:extLst>
            <a:ext uri="{FF2B5EF4-FFF2-40B4-BE49-F238E27FC236}">
              <a16:creationId xmlns:a16="http://schemas.microsoft.com/office/drawing/2014/main" id="{6D4DC5B2-1091-49CB-BED7-6D7264355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4" name="Picture 1">
          <a:extLst>
            <a:ext uri="{FF2B5EF4-FFF2-40B4-BE49-F238E27FC236}">
              <a16:creationId xmlns:a16="http://schemas.microsoft.com/office/drawing/2014/main" id="{36836AB8-154E-4DF1-9F13-DE7C77F84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5" name="Picture 1">
          <a:extLst>
            <a:ext uri="{FF2B5EF4-FFF2-40B4-BE49-F238E27FC236}">
              <a16:creationId xmlns:a16="http://schemas.microsoft.com/office/drawing/2014/main" id="{BEBF00DC-0404-436F-8A29-FD2888F66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6" name="Picture 1">
          <a:extLst>
            <a:ext uri="{FF2B5EF4-FFF2-40B4-BE49-F238E27FC236}">
              <a16:creationId xmlns:a16="http://schemas.microsoft.com/office/drawing/2014/main" id="{8BA3F769-5EC4-4482-8924-A7737D2D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7" name="Picture 1">
          <a:extLst>
            <a:ext uri="{FF2B5EF4-FFF2-40B4-BE49-F238E27FC236}">
              <a16:creationId xmlns:a16="http://schemas.microsoft.com/office/drawing/2014/main" id="{F9E21C6D-BC0D-4AB5-956C-36FF5356F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8" name="Picture 1">
          <a:extLst>
            <a:ext uri="{FF2B5EF4-FFF2-40B4-BE49-F238E27FC236}">
              <a16:creationId xmlns:a16="http://schemas.microsoft.com/office/drawing/2014/main" id="{E4694CA3-E460-44B3-9A0B-F02DF5E9A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49" name="Picture 1">
          <a:extLst>
            <a:ext uri="{FF2B5EF4-FFF2-40B4-BE49-F238E27FC236}">
              <a16:creationId xmlns:a16="http://schemas.microsoft.com/office/drawing/2014/main" id="{8AAA409A-B2AE-4A92-A220-30070C416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0" name="Picture 1">
          <a:extLst>
            <a:ext uri="{FF2B5EF4-FFF2-40B4-BE49-F238E27FC236}">
              <a16:creationId xmlns:a16="http://schemas.microsoft.com/office/drawing/2014/main" id="{9AAECA93-B7C6-4779-A333-9486D222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1" name="Picture 1">
          <a:extLst>
            <a:ext uri="{FF2B5EF4-FFF2-40B4-BE49-F238E27FC236}">
              <a16:creationId xmlns:a16="http://schemas.microsoft.com/office/drawing/2014/main" id="{1858675A-4A30-4EED-8236-19F848953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2" name="Picture 1">
          <a:extLst>
            <a:ext uri="{FF2B5EF4-FFF2-40B4-BE49-F238E27FC236}">
              <a16:creationId xmlns:a16="http://schemas.microsoft.com/office/drawing/2014/main" id="{6AD3D74B-3CE7-431A-8822-F8E3C82C3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3" name="Picture 1">
          <a:extLst>
            <a:ext uri="{FF2B5EF4-FFF2-40B4-BE49-F238E27FC236}">
              <a16:creationId xmlns:a16="http://schemas.microsoft.com/office/drawing/2014/main" id="{6BB8CF4B-53F4-4CB9-9A3E-702865159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4" name="Picture 1">
          <a:extLst>
            <a:ext uri="{FF2B5EF4-FFF2-40B4-BE49-F238E27FC236}">
              <a16:creationId xmlns:a16="http://schemas.microsoft.com/office/drawing/2014/main" id="{494C8663-0F04-49DC-890C-1EBEA0EE0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5" name="Picture 1">
          <a:extLst>
            <a:ext uri="{FF2B5EF4-FFF2-40B4-BE49-F238E27FC236}">
              <a16:creationId xmlns:a16="http://schemas.microsoft.com/office/drawing/2014/main" id="{C3297610-42BC-4BD5-AC8D-680C7968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6" name="Picture 1">
          <a:extLst>
            <a:ext uri="{FF2B5EF4-FFF2-40B4-BE49-F238E27FC236}">
              <a16:creationId xmlns:a16="http://schemas.microsoft.com/office/drawing/2014/main" id="{A59014F7-27F5-45EA-8C8C-CFD3442E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107</xdr:row>
      <xdr:rowOff>144360</xdr:rowOff>
    </xdr:from>
    <xdr:ext cx="1294920" cy="57240"/>
    <xdr:pic>
      <xdr:nvPicPr>
        <xdr:cNvPr id="1057" name="Picture 1">
          <a:extLst>
            <a:ext uri="{FF2B5EF4-FFF2-40B4-BE49-F238E27FC236}">
              <a16:creationId xmlns:a16="http://schemas.microsoft.com/office/drawing/2014/main" id="{AC4B398C-ADDA-4F5F-A107-8B9589C27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470835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58" name="Picture 1">
          <a:extLst>
            <a:ext uri="{FF2B5EF4-FFF2-40B4-BE49-F238E27FC236}">
              <a16:creationId xmlns:a16="http://schemas.microsoft.com/office/drawing/2014/main" id="{1D9332A7-882C-4C50-AA25-ACA68792A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59" name="Picture 1">
          <a:extLst>
            <a:ext uri="{FF2B5EF4-FFF2-40B4-BE49-F238E27FC236}">
              <a16:creationId xmlns:a16="http://schemas.microsoft.com/office/drawing/2014/main" id="{665A634C-B985-4C9C-843C-800428524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0" name="Picture 1">
          <a:extLst>
            <a:ext uri="{FF2B5EF4-FFF2-40B4-BE49-F238E27FC236}">
              <a16:creationId xmlns:a16="http://schemas.microsoft.com/office/drawing/2014/main" id="{5C3CCD41-1D5D-4C87-A691-E82DD1D3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1" name="Picture 1">
          <a:extLst>
            <a:ext uri="{FF2B5EF4-FFF2-40B4-BE49-F238E27FC236}">
              <a16:creationId xmlns:a16="http://schemas.microsoft.com/office/drawing/2014/main" id="{3725C999-169C-428D-83BB-B96323CCA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2" name="Picture 1">
          <a:extLst>
            <a:ext uri="{FF2B5EF4-FFF2-40B4-BE49-F238E27FC236}">
              <a16:creationId xmlns:a16="http://schemas.microsoft.com/office/drawing/2014/main" id="{37350CB4-1277-4B0C-8463-B0C1281C3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3" name="Picture 1">
          <a:extLst>
            <a:ext uri="{FF2B5EF4-FFF2-40B4-BE49-F238E27FC236}">
              <a16:creationId xmlns:a16="http://schemas.microsoft.com/office/drawing/2014/main" id="{D8E122CC-AE8A-4279-AE07-5FC9670F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4" name="Picture 1">
          <a:extLst>
            <a:ext uri="{FF2B5EF4-FFF2-40B4-BE49-F238E27FC236}">
              <a16:creationId xmlns:a16="http://schemas.microsoft.com/office/drawing/2014/main" id="{BB3364E8-48E7-4FC4-8E3B-7D04B1B5D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5" name="Picture 1">
          <a:extLst>
            <a:ext uri="{FF2B5EF4-FFF2-40B4-BE49-F238E27FC236}">
              <a16:creationId xmlns:a16="http://schemas.microsoft.com/office/drawing/2014/main" id="{CC8937D8-4154-4206-B3F1-95B82E92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6" name="Picture 1">
          <a:extLst>
            <a:ext uri="{FF2B5EF4-FFF2-40B4-BE49-F238E27FC236}">
              <a16:creationId xmlns:a16="http://schemas.microsoft.com/office/drawing/2014/main" id="{69FE9835-A349-4549-BB98-A25E636ED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7" name="Picture 1">
          <a:extLst>
            <a:ext uri="{FF2B5EF4-FFF2-40B4-BE49-F238E27FC236}">
              <a16:creationId xmlns:a16="http://schemas.microsoft.com/office/drawing/2014/main" id="{EF85C000-51F9-45EE-8764-85FA1E800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8" name="Picture 1">
          <a:extLst>
            <a:ext uri="{FF2B5EF4-FFF2-40B4-BE49-F238E27FC236}">
              <a16:creationId xmlns:a16="http://schemas.microsoft.com/office/drawing/2014/main" id="{83BB1AB3-096E-4231-BB67-6836F4B8B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69" name="Picture 1">
          <a:extLst>
            <a:ext uri="{FF2B5EF4-FFF2-40B4-BE49-F238E27FC236}">
              <a16:creationId xmlns:a16="http://schemas.microsoft.com/office/drawing/2014/main" id="{DAC458BB-CADA-4103-A98D-A39F718B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0" name="Picture 1">
          <a:extLst>
            <a:ext uri="{FF2B5EF4-FFF2-40B4-BE49-F238E27FC236}">
              <a16:creationId xmlns:a16="http://schemas.microsoft.com/office/drawing/2014/main" id="{6C44F32B-4B13-4AC2-AF2D-43A0981EF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1" name="Picture 1">
          <a:extLst>
            <a:ext uri="{FF2B5EF4-FFF2-40B4-BE49-F238E27FC236}">
              <a16:creationId xmlns:a16="http://schemas.microsoft.com/office/drawing/2014/main" id="{6491E95D-AE02-44A3-A3A5-57814F675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2" name="Picture 1">
          <a:extLst>
            <a:ext uri="{FF2B5EF4-FFF2-40B4-BE49-F238E27FC236}">
              <a16:creationId xmlns:a16="http://schemas.microsoft.com/office/drawing/2014/main" id="{74E746EE-2A31-40AE-BE52-79B75BD8D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3" name="Picture 1">
          <a:extLst>
            <a:ext uri="{FF2B5EF4-FFF2-40B4-BE49-F238E27FC236}">
              <a16:creationId xmlns:a16="http://schemas.microsoft.com/office/drawing/2014/main" id="{A2E173AD-3012-4908-840F-53F7D9BF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4" name="Picture 1">
          <a:extLst>
            <a:ext uri="{FF2B5EF4-FFF2-40B4-BE49-F238E27FC236}">
              <a16:creationId xmlns:a16="http://schemas.microsoft.com/office/drawing/2014/main" id="{F4D51A7C-F353-40DE-AA65-639ABA33A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5" name="Picture 1">
          <a:extLst>
            <a:ext uri="{FF2B5EF4-FFF2-40B4-BE49-F238E27FC236}">
              <a16:creationId xmlns:a16="http://schemas.microsoft.com/office/drawing/2014/main" id="{C703645E-33FD-4AEC-A854-2AA0C9A1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6" name="Picture 1">
          <a:extLst>
            <a:ext uri="{FF2B5EF4-FFF2-40B4-BE49-F238E27FC236}">
              <a16:creationId xmlns:a16="http://schemas.microsoft.com/office/drawing/2014/main" id="{AD95D882-10B7-47C1-95C2-06BC1A19C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7" name="Picture 1">
          <a:extLst>
            <a:ext uri="{FF2B5EF4-FFF2-40B4-BE49-F238E27FC236}">
              <a16:creationId xmlns:a16="http://schemas.microsoft.com/office/drawing/2014/main" id="{474ED85E-9A46-4E66-8DC3-2051DAD4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8" name="Picture 1">
          <a:extLst>
            <a:ext uri="{FF2B5EF4-FFF2-40B4-BE49-F238E27FC236}">
              <a16:creationId xmlns:a16="http://schemas.microsoft.com/office/drawing/2014/main" id="{30291832-0F38-46A7-A157-516C266B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79" name="Picture 1">
          <a:extLst>
            <a:ext uri="{FF2B5EF4-FFF2-40B4-BE49-F238E27FC236}">
              <a16:creationId xmlns:a16="http://schemas.microsoft.com/office/drawing/2014/main" id="{FB43B7BE-5835-462E-92B5-F0B0E94D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0" name="Picture 1">
          <a:extLst>
            <a:ext uri="{FF2B5EF4-FFF2-40B4-BE49-F238E27FC236}">
              <a16:creationId xmlns:a16="http://schemas.microsoft.com/office/drawing/2014/main" id="{10230F08-E861-49B1-A629-07CBCB64B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1" name="Picture 1">
          <a:extLst>
            <a:ext uri="{FF2B5EF4-FFF2-40B4-BE49-F238E27FC236}">
              <a16:creationId xmlns:a16="http://schemas.microsoft.com/office/drawing/2014/main" id="{76673896-21E6-4404-AC2B-4EF636C9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2" name="Picture 1">
          <a:extLst>
            <a:ext uri="{FF2B5EF4-FFF2-40B4-BE49-F238E27FC236}">
              <a16:creationId xmlns:a16="http://schemas.microsoft.com/office/drawing/2014/main" id="{8DCE34A6-97B4-4A89-8259-29574853F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3" name="Picture 1">
          <a:extLst>
            <a:ext uri="{FF2B5EF4-FFF2-40B4-BE49-F238E27FC236}">
              <a16:creationId xmlns:a16="http://schemas.microsoft.com/office/drawing/2014/main" id="{396D1337-0938-45EB-9D74-DF3258FB7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4" name="Picture 1">
          <a:extLst>
            <a:ext uri="{FF2B5EF4-FFF2-40B4-BE49-F238E27FC236}">
              <a16:creationId xmlns:a16="http://schemas.microsoft.com/office/drawing/2014/main" id="{E6F61A9F-643C-4A18-89A7-D47DB02AF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5" name="Picture 1">
          <a:extLst>
            <a:ext uri="{FF2B5EF4-FFF2-40B4-BE49-F238E27FC236}">
              <a16:creationId xmlns:a16="http://schemas.microsoft.com/office/drawing/2014/main" id="{78828792-1C07-4F62-972C-1A9D16ECC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6" name="Picture 1">
          <a:extLst>
            <a:ext uri="{FF2B5EF4-FFF2-40B4-BE49-F238E27FC236}">
              <a16:creationId xmlns:a16="http://schemas.microsoft.com/office/drawing/2014/main" id="{EE7594D7-99B9-4AE3-8DDA-F4F36C84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7" name="Picture 1">
          <a:extLst>
            <a:ext uri="{FF2B5EF4-FFF2-40B4-BE49-F238E27FC236}">
              <a16:creationId xmlns:a16="http://schemas.microsoft.com/office/drawing/2014/main" id="{D640040A-42AF-44F3-9F6C-D701B0B6D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108</xdr:row>
      <xdr:rowOff>144000</xdr:rowOff>
    </xdr:from>
    <xdr:ext cx="1294920" cy="57960"/>
    <xdr:pic>
      <xdr:nvPicPr>
        <xdr:cNvPr id="1088" name="Picture 1">
          <a:extLst>
            <a:ext uri="{FF2B5EF4-FFF2-40B4-BE49-F238E27FC236}">
              <a16:creationId xmlns:a16="http://schemas.microsoft.com/office/drawing/2014/main" id="{076C652A-5221-4568-83FB-BE79F6DFD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6514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89" name="Picture 1">
          <a:extLst>
            <a:ext uri="{FF2B5EF4-FFF2-40B4-BE49-F238E27FC236}">
              <a16:creationId xmlns:a16="http://schemas.microsoft.com/office/drawing/2014/main" id="{C0D5E26B-ABDF-43F1-9144-EDD22DD3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0" name="Picture 1">
          <a:extLst>
            <a:ext uri="{FF2B5EF4-FFF2-40B4-BE49-F238E27FC236}">
              <a16:creationId xmlns:a16="http://schemas.microsoft.com/office/drawing/2014/main" id="{BBA22CCD-61C8-43FA-B94A-234B4F95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1" name="Picture 1">
          <a:extLst>
            <a:ext uri="{FF2B5EF4-FFF2-40B4-BE49-F238E27FC236}">
              <a16:creationId xmlns:a16="http://schemas.microsoft.com/office/drawing/2014/main" id="{7EF1431B-7378-491F-854E-77635B559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2" name="Picture 1">
          <a:extLst>
            <a:ext uri="{FF2B5EF4-FFF2-40B4-BE49-F238E27FC236}">
              <a16:creationId xmlns:a16="http://schemas.microsoft.com/office/drawing/2014/main" id="{DFB48135-D090-4898-945D-0917ADC46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3" name="Picture 1">
          <a:extLst>
            <a:ext uri="{FF2B5EF4-FFF2-40B4-BE49-F238E27FC236}">
              <a16:creationId xmlns:a16="http://schemas.microsoft.com/office/drawing/2014/main" id="{8003DCDE-4E15-4166-9036-2CFA9A97D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4" name="Picture 1">
          <a:extLst>
            <a:ext uri="{FF2B5EF4-FFF2-40B4-BE49-F238E27FC236}">
              <a16:creationId xmlns:a16="http://schemas.microsoft.com/office/drawing/2014/main" id="{BD643951-7F2E-4E61-9B76-A408CB5A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5" name="Picture 1">
          <a:extLst>
            <a:ext uri="{FF2B5EF4-FFF2-40B4-BE49-F238E27FC236}">
              <a16:creationId xmlns:a16="http://schemas.microsoft.com/office/drawing/2014/main" id="{EBFC0FEE-2A68-4B9C-B2A8-85EC50AE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6" name="Picture 1">
          <a:extLst>
            <a:ext uri="{FF2B5EF4-FFF2-40B4-BE49-F238E27FC236}">
              <a16:creationId xmlns:a16="http://schemas.microsoft.com/office/drawing/2014/main" id="{AE1E0A97-3454-4214-9217-F393E56B8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7" name="Picture 1">
          <a:extLst>
            <a:ext uri="{FF2B5EF4-FFF2-40B4-BE49-F238E27FC236}">
              <a16:creationId xmlns:a16="http://schemas.microsoft.com/office/drawing/2014/main" id="{3BE13620-FA70-457F-BA55-3C46ACD0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8" name="Picture 1">
          <a:extLst>
            <a:ext uri="{FF2B5EF4-FFF2-40B4-BE49-F238E27FC236}">
              <a16:creationId xmlns:a16="http://schemas.microsoft.com/office/drawing/2014/main" id="{83E04C24-89C9-4070-8001-745CF6A5B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099" name="Picture 1">
          <a:extLst>
            <a:ext uri="{FF2B5EF4-FFF2-40B4-BE49-F238E27FC236}">
              <a16:creationId xmlns:a16="http://schemas.microsoft.com/office/drawing/2014/main" id="{6183C568-ECBA-449F-9BDB-3716ACCF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0" name="Picture 1">
          <a:extLst>
            <a:ext uri="{FF2B5EF4-FFF2-40B4-BE49-F238E27FC236}">
              <a16:creationId xmlns:a16="http://schemas.microsoft.com/office/drawing/2014/main" id="{1042A3E2-544D-4C2B-B47D-3C8168A92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1" name="Picture 1">
          <a:extLst>
            <a:ext uri="{FF2B5EF4-FFF2-40B4-BE49-F238E27FC236}">
              <a16:creationId xmlns:a16="http://schemas.microsoft.com/office/drawing/2014/main" id="{76BC206B-141A-493F-B033-AD7672EBD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2" name="Picture 1">
          <a:extLst>
            <a:ext uri="{FF2B5EF4-FFF2-40B4-BE49-F238E27FC236}">
              <a16:creationId xmlns:a16="http://schemas.microsoft.com/office/drawing/2014/main" id="{42FB62D6-A790-4FCF-945A-D24DBBC74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3" name="Picture 1">
          <a:extLst>
            <a:ext uri="{FF2B5EF4-FFF2-40B4-BE49-F238E27FC236}">
              <a16:creationId xmlns:a16="http://schemas.microsoft.com/office/drawing/2014/main" id="{6D32CFA0-7F6E-44CD-8111-9E4181550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4" name="Picture 1">
          <a:extLst>
            <a:ext uri="{FF2B5EF4-FFF2-40B4-BE49-F238E27FC236}">
              <a16:creationId xmlns:a16="http://schemas.microsoft.com/office/drawing/2014/main" id="{3D7141F6-428E-46B9-A278-F390072B9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5" name="Picture 1">
          <a:extLst>
            <a:ext uri="{FF2B5EF4-FFF2-40B4-BE49-F238E27FC236}">
              <a16:creationId xmlns:a16="http://schemas.microsoft.com/office/drawing/2014/main" id="{3FE96509-C06D-4D05-A4D3-7DE7B0A98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6" name="Picture 1">
          <a:extLst>
            <a:ext uri="{FF2B5EF4-FFF2-40B4-BE49-F238E27FC236}">
              <a16:creationId xmlns:a16="http://schemas.microsoft.com/office/drawing/2014/main" id="{281760FF-8692-48CE-97D0-DF48D95FF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7" name="Picture 1">
          <a:extLst>
            <a:ext uri="{FF2B5EF4-FFF2-40B4-BE49-F238E27FC236}">
              <a16:creationId xmlns:a16="http://schemas.microsoft.com/office/drawing/2014/main" id="{BA3F0375-56E7-42F0-AE35-9E6B64E90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8" name="Picture 1">
          <a:extLst>
            <a:ext uri="{FF2B5EF4-FFF2-40B4-BE49-F238E27FC236}">
              <a16:creationId xmlns:a16="http://schemas.microsoft.com/office/drawing/2014/main" id="{30347F66-09AC-4659-AD0E-C18468804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09" name="Picture 1">
          <a:extLst>
            <a:ext uri="{FF2B5EF4-FFF2-40B4-BE49-F238E27FC236}">
              <a16:creationId xmlns:a16="http://schemas.microsoft.com/office/drawing/2014/main" id="{AC8684BA-A1C4-4403-A76E-D303DF22F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0" name="Picture 1">
          <a:extLst>
            <a:ext uri="{FF2B5EF4-FFF2-40B4-BE49-F238E27FC236}">
              <a16:creationId xmlns:a16="http://schemas.microsoft.com/office/drawing/2014/main" id="{5351C258-3D84-4393-80DE-CB6AF77F4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1" name="Picture 1">
          <a:extLst>
            <a:ext uri="{FF2B5EF4-FFF2-40B4-BE49-F238E27FC236}">
              <a16:creationId xmlns:a16="http://schemas.microsoft.com/office/drawing/2014/main" id="{CB4FEF14-BB49-4494-874D-D5850B08D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2" name="Picture 1">
          <a:extLst>
            <a:ext uri="{FF2B5EF4-FFF2-40B4-BE49-F238E27FC236}">
              <a16:creationId xmlns:a16="http://schemas.microsoft.com/office/drawing/2014/main" id="{CDAD3717-053D-4663-9C4E-29986A62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3" name="Picture 1">
          <a:extLst>
            <a:ext uri="{FF2B5EF4-FFF2-40B4-BE49-F238E27FC236}">
              <a16:creationId xmlns:a16="http://schemas.microsoft.com/office/drawing/2014/main" id="{86E6926C-64DB-4120-BC59-F707174E5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4" name="Picture 1">
          <a:extLst>
            <a:ext uri="{FF2B5EF4-FFF2-40B4-BE49-F238E27FC236}">
              <a16:creationId xmlns:a16="http://schemas.microsoft.com/office/drawing/2014/main" id="{D1E18330-8988-49F5-B148-3C376157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5" name="Picture 1">
          <a:extLst>
            <a:ext uri="{FF2B5EF4-FFF2-40B4-BE49-F238E27FC236}">
              <a16:creationId xmlns:a16="http://schemas.microsoft.com/office/drawing/2014/main" id="{50A412FA-A215-4E56-901F-5882DC3D8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6" name="Picture 1">
          <a:extLst>
            <a:ext uri="{FF2B5EF4-FFF2-40B4-BE49-F238E27FC236}">
              <a16:creationId xmlns:a16="http://schemas.microsoft.com/office/drawing/2014/main" id="{49910131-EF29-41AA-917E-08C0F449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7" name="Picture 1">
          <a:extLst>
            <a:ext uri="{FF2B5EF4-FFF2-40B4-BE49-F238E27FC236}">
              <a16:creationId xmlns:a16="http://schemas.microsoft.com/office/drawing/2014/main" id="{5BC7BDC1-CAC7-40F3-AB8B-D6C513A0A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8" name="Picture 1">
          <a:extLst>
            <a:ext uri="{FF2B5EF4-FFF2-40B4-BE49-F238E27FC236}">
              <a16:creationId xmlns:a16="http://schemas.microsoft.com/office/drawing/2014/main" id="{40D4F4A3-DE24-4C08-9698-061DB4B80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109</xdr:row>
      <xdr:rowOff>144360</xdr:rowOff>
    </xdr:from>
    <xdr:ext cx="1294920" cy="57240"/>
    <xdr:pic>
      <xdr:nvPicPr>
        <xdr:cNvPr id="1119" name="Picture 1">
          <a:extLst>
            <a:ext uri="{FF2B5EF4-FFF2-40B4-BE49-F238E27FC236}">
              <a16:creationId xmlns:a16="http://schemas.microsoft.com/office/drawing/2014/main" id="{2ABEEF1F-4215-4E94-8680-D800A4DF1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18423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0" name="Picture 1">
          <a:extLst>
            <a:ext uri="{FF2B5EF4-FFF2-40B4-BE49-F238E27FC236}">
              <a16:creationId xmlns:a16="http://schemas.microsoft.com/office/drawing/2014/main" id="{5CA10DFF-DA88-40F1-BFCB-8C56A5B11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1" name="Picture 1">
          <a:extLst>
            <a:ext uri="{FF2B5EF4-FFF2-40B4-BE49-F238E27FC236}">
              <a16:creationId xmlns:a16="http://schemas.microsoft.com/office/drawing/2014/main" id="{CD5B112B-2E33-4077-9C12-0FDA4B1A4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2" name="Picture 1">
          <a:extLst>
            <a:ext uri="{FF2B5EF4-FFF2-40B4-BE49-F238E27FC236}">
              <a16:creationId xmlns:a16="http://schemas.microsoft.com/office/drawing/2014/main" id="{D91EAACB-B156-4AC2-B1BC-ACC64CEFF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3" name="Picture 1">
          <a:extLst>
            <a:ext uri="{FF2B5EF4-FFF2-40B4-BE49-F238E27FC236}">
              <a16:creationId xmlns:a16="http://schemas.microsoft.com/office/drawing/2014/main" id="{13002A4B-B945-442E-83B4-C51D80F55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4" name="Picture 1">
          <a:extLst>
            <a:ext uri="{FF2B5EF4-FFF2-40B4-BE49-F238E27FC236}">
              <a16:creationId xmlns:a16="http://schemas.microsoft.com/office/drawing/2014/main" id="{BAB08598-7F3A-4618-9642-5A9AF6666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5" name="Picture 1">
          <a:extLst>
            <a:ext uri="{FF2B5EF4-FFF2-40B4-BE49-F238E27FC236}">
              <a16:creationId xmlns:a16="http://schemas.microsoft.com/office/drawing/2014/main" id="{8EA3C38F-BD7C-4DB0-925C-AF3F5503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6" name="Picture 1">
          <a:extLst>
            <a:ext uri="{FF2B5EF4-FFF2-40B4-BE49-F238E27FC236}">
              <a16:creationId xmlns:a16="http://schemas.microsoft.com/office/drawing/2014/main" id="{B8D5D3A5-C81E-48FF-B247-44154244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7" name="Picture 1">
          <a:extLst>
            <a:ext uri="{FF2B5EF4-FFF2-40B4-BE49-F238E27FC236}">
              <a16:creationId xmlns:a16="http://schemas.microsoft.com/office/drawing/2014/main" id="{E12CC1E5-6CF4-420F-8A21-4C3B88AD7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8" name="Picture 1">
          <a:extLst>
            <a:ext uri="{FF2B5EF4-FFF2-40B4-BE49-F238E27FC236}">
              <a16:creationId xmlns:a16="http://schemas.microsoft.com/office/drawing/2014/main" id="{79AC7F2C-751C-4EFD-A5B0-B05F187E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29" name="Picture 1">
          <a:extLst>
            <a:ext uri="{FF2B5EF4-FFF2-40B4-BE49-F238E27FC236}">
              <a16:creationId xmlns:a16="http://schemas.microsoft.com/office/drawing/2014/main" id="{129101F9-A650-4B8F-81C3-27DC9A83C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0" name="Picture 1">
          <a:extLst>
            <a:ext uri="{FF2B5EF4-FFF2-40B4-BE49-F238E27FC236}">
              <a16:creationId xmlns:a16="http://schemas.microsoft.com/office/drawing/2014/main" id="{940A878B-1BEE-4382-A94F-601FA876D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1" name="Picture 1">
          <a:extLst>
            <a:ext uri="{FF2B5EF4-FFF2-40B4-BE49-F238E27FC236}">
              <a16:creationId xmlns:a16="http://schemas.microsoft.com/office/drawing/2014/main" id="{70330C2F-DD09-40DA-9BFB-1B94FFFC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2" name="Picture 1">
          <a:extLst>
            <a:ext uri="{FF2B5EF4-FFF2-40B4-BE49-F238E27FC236}">
              <a16:creationId xmlns:a16="http://schemas.microsoft.com/office/drawing/2014/main" id="{8273A0D8-9A78-46E6-BBD0-285730189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3" name="Picture 1">
          <a:extLst>
            <a:ext uri="{FF2B5EF4-FFF2-40B4-BE49-F238E27FC236}">
              <a16:creationId xmlns:a16="http://schemas.microsoft.com/office/drawing/2014/main" id="{22F08933-AEB9-4D40-A207-E1ABA1659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4" name="Picture 1">
          <a:extLst>
            <a:ext uri="{FF2B5EF4-FFF2-40B4-BE49-F238E27FC236}">
              <a16:creationId xmlns:a16="http://schemas.microsoft.com/office/drawing/2014/main" id="{98815659-0046-4C66-8535-AA8E117EC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5" name="Picture 1">
          <a:extLst>
            <a:ext uri="{FF2B5EF4-FFF2-40B4-BE49-F238E27FC236}">
              <a16:creationId xmlns:a16="http://schemas.microsoft.com/office/drawing/2014/main" id="{C3E771A2-C496-4E90-8A5D-04F51469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6" name="Picture 1">
          <a:extLst>
            <a:ext uri="{FF2B5EF4-FFF2-40B4-BE49-F238E27FC236}">
              <a16:creationId xmlns:a16="http://schemas.microsoft.com/office/drawing/2014/main" id="{D0017F3B-E2EF-4F0F-84E2-12FE68AE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7" name="Picture 1">
          <a:extLst>
            <a:ext uri="{FF2B5EF4-FFF2-40B4-BE49-F238E27FC236}">
              <a16:creationId xmlns:a16="http://schemas.microsoft.com/office/drawing/2014/main" id="{38644EDA-521B-4F05-9727-818CDB49F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8" name="Picture 1">
          <a:extLst>
            <a:ext uri="{FF2B5EF4-FFF2-40B4-BE49-F238E27FC236}">
              <a16:creationId xmlns:a16="http://schemas.microsoft.com/office/drawing/2014/main" id="{FFD162B1-C9AE-4B6B-8369-EAE0164BC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39" name="Picture 1">
          <a:extLst>
            <a:ext uri="{FF2B5EF4-FFF2-40B4-BE49-F238E27FC236}">
              <a16:creationId xmlns:a16="http://schemas.microsoft.com/office/drawing/2014/main" id="{355AC2A7-C61B-462F-85D4-9190BB4A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0" name="Picture 1">
          <a:extLst>
            <a:ext uri="{FF2B5EF4-FFF2-40B4-BE49-F238E27FC236}">
              <a16:creationId xmlns:a16="http://schemas.microsoft.com/office/drawing/2014/main" id="{660331CD-1B2E-4839-9CE7-6AD56A418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1" name="Picture 1">
          <a:extLst>
            <a:ext uri="{FF2B5EF4-FFF2-40B4-BE49-F238E27FC236}">
              <a16:creationId xmlns:a16="http://schemas.microsoft.com/office/drawing/2014/main" id="{84EB4614-D1D4-460C-A1A7-6E685E3F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2" name="Picture 1">
          <a:extLst>
            <a:ext uri="{FF2B5EF4-FFF2-40B4-BE49-F238E27FC236}">
              <a16:creationId xmlns:a16="http://schemas.microsoft.com/office/drawing/2014/main" id="{3C6B5253-16B6-4B61-B84B-89D78638B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3" name="Picture 1">
          <a:extLst>
            <a:ext uri="{FF2B5EF4-FFF2-40B4-BE49-F238E27FC236}">
              <a16:creationId xmlns:a16="http://schemas.microsoft.com/office/drawing/2014/main" id="{31D34938-C231-4A33-8825-CB47D4648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4" name="Picture 1">
          <a:extLst>
            <a:ext uri="{FF2B5EF4-FFF2-40B4-BE49-F238E27FC236}">
              <a16:creationId xmlns:a16="http://schemas.microsoft.com/office/drawing/2014/main" id="{DCBF03C1-E604-4363-9D96-7900F93B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5" name="Picture 1">
          <a:extLst>
            <a:ext uri="{FF2B5EF4-FFF2-40B4-BE49-F238E27FC236}">
              <a16:creationId xmlns:a16="http://schemas.microsoft.com/office/drawing/2014/main" id="{7EDE017D-1D92-4676-B053-2AD44D302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6" name="Picture 1">
          <a:extLst>
            <a:ext uri="{FF2B5EF4-FFF2-40B4-BE49-F238E27FC236}">
              <a16:creationId xmlns:a16="http://schemas.microsoft.com/office/drawing/2014/main" id="{180F8C0E-0751-4A64-8CD6-4E5D58034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7" name="Picture 1">
          <a:extLst>
            <a:ext uri="{FF2B5EF4-FFF2-40B4-BE49-F238E27FC236}">
              <a16:creationId xmlns:a16="http://schemas.microsoft.com/office/drawing/2014/main" id="{73D138FA-78D3-4449-8697-7A7E203F8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8" name="Picture 1">
          <a:extLst>
            <a:ext uri="{FF2B5EF4-FFF2-40B4-BE49-F238E27FC236}">
              <a16:creationId xmlns:a16="http://schemas.microsoft.com/office/drawing/2014/main" id="{03A066E7-4722-466A-B2E9-E6C7961B1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49" name="Picture 1">
          <a:extLst>
            <a:ext uri="{FF2B5EF4-FFF2-40B4-BE49-F238E27FC236}">
              <a16:creationId xmlns:a16="http://schemas.microsoft.com/office/drawing/2014/main" id="{6026F982-66E4-4AEA-8F0E-9E04FB514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50" name="Picture 1">
          <a:extLst>
            <a:ext uri="{FF2B5EF4-FFF2-40B4-BE49-F238E27FC236}">
              <a16:creationId xmlns:a16="http://schemas.microsoft.com/office/drawing/2014/main" id="{143022E6-527A-4E75-BD78-AB09BB2C9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51" name="Picture 1">
          <a:extLst>
            <a:ext uri="{FF2B5EF4-FFF2-40B4-BE49-F238E27FC236}">
              <a16:creationId xmlns:a16="http://schemas.microsoft.com/office/drawing/2014/main" id="{AB219F7E-D0D4-4894-9154-37F71CF6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110</xdr:row>
      <xdr:rowOff>144360</xdr:rowOff>
    </xdr:from>
    <xdr:ext cx="1294920" cy="57240"/>
    <xdr:pic>
      <xdr:nvPicPr>
        <xdr:cNvPr id="1152" name="Picture 1">
          <a:extLst>
            <a:ext uri="{FF2B5EF4-FFF2-40B4-BE49-F238E27FC236}">
              <a16:creationId xmlns:a16="http://schemas.microsoft.com/office/drawing/2014/main" id="{A162F97F-B133-4734-BF21-5BA691BFC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032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3" name="Picture 1">
          <a:extLst>
            <a:ext uri="{FF2B5EF4-FFF2-40B4-BE49-F238E27FC236}">
              <a16:creationId xmlns:a16="http://schemas.microsoft.com/office/drawing/2014/main" id="{31E6F8FA-1FDF-4DEE-8599-46BD3CF0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4" name="Picture 1">
          <a:extLst>
            <a:ext uri="{FF2B5EF4-FFF2-40B4-BE49-F238E27FC236}">
              <a16:creationId xmlns:a16="http://schemas.microsoft.com/office/drawing/2014/main" id="{7264C5EE-5562-4C01-BAA9-DD2CE4A6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5" name="Picture 1">
          <a:extLst>
            <a:ext uri="{FF2B5EF4-FFF2-40B4-BE49-F238E27FC236}">
              <a16:creationId xmlns:a16="http://schemas.microsoft.com/office/drawing/2014/main" id="{42322D23-2F65-49A0-971B-3B2EC0A14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6" name="Picture 1">
          <a:extLst>
            <a:ext uri="{FF2B5EF4-FFF2-40B4-BE49-F238E27FC236}">
              <a16:creationId xmlns:a16="http://schemas.microsoft.com/office/drawing/2014/main" id="{E35E1779-C5BD-4CA8-9FD3-FE5C95E86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7" name="Picture 1">
          <a:extLst>
            <a:ext uri="{FF2B5EF4-FFF2-40B4-BE49-F238E27FC236}">
              <a16:creationId xmlns:a16="http://schemas.microsoft.com/office/drawing/2014/main" id="{BFA49549-B461-4A3F-B5F1-65843594E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8" name="Picture 1">
          <a:extLst>
            <a:ext uri="{FF2B5EF4-FFF2-40B4-BE49-F238E27FC236}">
              <a16:creationId xmlns:a16="http://schemas.microsoft.com/office/drawing/2014/main" id="{2DA82742-3D86-4713-B9CC-ECF6C4C8E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59" name="Picture 1">
          <a:extLst>
            <a:ext uri="{FF2B5EF4-FFF2-40B4-BE49-F238E27FC236}">
              <a16:creationId xmlns:a16="http://schemas.microsoft.com/office/drawing/2014/main" id="{F320B2C7-916E-4300-9DC7-0E668FB3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0" name="Picture 1">
          <a:extLst>
            <a:ext uri="{FF2B5EF4-FFF2-40B4-BE49-F238E27FC236}">
              <a16:creationId xmlns:a16="http://schemas.microsoft.com/office/drawing/2014/main" id="{0E5B1477-F04E-4A00-9C84-6C7FE8CF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1" name="Picture 1">
          <a:extLst>
            <a:ext uri="{FF2B5EF4-FFF2-40B4-BE49-F238E27FC236}">
              <a16:creationId xmlns:a16="http://schemas.microsoft.com/office/drawing/2014/main" id="{FD59D898-E684-4C6E-9987-A17CA4605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2" name="Picture 1">
          <a:extLst>
            <a:ext uri="{FF2B5EF4-FFF2-40B4-BE49-F238E27FC236}">
              <a16:creationId xmlns:a16="http://schemas.microsoft.com/office/drawing/2014/main" id="{DCE652E3-F716-4EC1-A3C3-6D06B8C7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3" name="Picture 1">
          <a:extLst>
            <a:ext uri="{FF2B5EF4-FFF2-40B4-BE49-F238E27FC236}">
              <a16:creationId xmlns:a16="http://schemas.microsoft.com/office/drawing/2014/main" id="{ED510AC2-429A-4A1F-9F1A-627472FF9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4" name="Picture 1">
          <a:extLst>
            <a:ext uri="{FF2B5EF4-FFF2-40B4-BE49-F238E27FC236}">
              <a16:creationId xmlns:a16="http://schemas.microsoft.com/office/drawing/2014/main" id="{30B333CA-EFE2-47B5-B68A-3497EB4F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5" name="Picture 1">
          <a:extLst>
            <a:ext uri="{FF2B5EF4-FFF2-40B4-BE49-F238E27FC236}">
              <a16:creationId xmlns:a16="http://schemas.microsoft.com/office/drawing/2014/main" id="{59E2AEF8-7816-45BD-9644-4C232EEF4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6" name="Picture 1">
          <a:extLst>
            <a:ext uri="{FF2B5EF4-FFF2-40B4-BE49-F238E27FC236}">
              <a16:creationId xmlns:a16="http://schemas.microsoft.com/office/drawing/2014/main" id="{0B85CC0D-E78E-4500-B54C-07EA14DC3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7" name="Picture 1">
          <a:extLst>
            <a:ext uri="{FF2B5EF4-FFF2-40B4-BE49-F238E27FC236}">
              <a16:creationId xmlns:a16="http://schemas.microsoft.com/office/drawing/2014/main" id="{1B0AE7F2-CE17-4E9A-A342-7F2F7BEA1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8" name="Picture 1">
          <a:extLst>
            <a:ext uri="{FF2B5EF4-FFF2-40B4-BE49-F238E27FC236}">
              <a16:creationId xmlns:a16="http://schemas.microsoft.com/office/drawing/2014/main" id="{03B58B08-CD96-4C78-BFF4-D87E107A4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69" name="Picture 1">
          <a:extLst>
            <a:ext uri="{FF2B5EF4-FFF2-40B4-BE49-F238E27FC236}">
              <a16:creationId xmlns:a16="http://schemas.microsoft.com/office/drawing/2014/main" id="{D3C8F001-F03B-4D1D-AF52-28F8C729B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0" name="Picture 1">
          <a:extLst>
            <a:ext uri="{FF2B5EF4-FFF2-40B4-BE49-F238E27FC236}">
              <a16:creationId xmlns:a16="http://schemas.microsoft.com/office/drawing/2014/main" id="{89DD9CE0-A728-4344-AD59-B0B8A0C06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1" name="Picture 1">
          <a:extLst>
            <a:ext uri="{FF2B5EF4-FFF2-40B4-BE49-F238E27FC236}">
              <a16:creationId xmlns:a16="http://schemas.microsoft.com/office/drawing/2014/main" id="{2D045E2F-08E1-4A58-9B7E-EB3AA40AC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2" name="Picture 1">
          <a:extLst>
            <a:ext uri="{FF2B5EF4-FFF2-40B4-BE49-F238E27FC236}">
              <a16:creationId xmlns:a16="http://schemas.microsoft.com/office/drawing/2014/main" id="{B42178D3-F3A2-4716-95CD-AC51E23C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3" name="Picture 1">
          <a:extLst>
            <a:ext uri="{FF2B5EF4-FFF2-40B4-BE49-F238E27FC236}">
              <a16:creationId xmlns:a16="http://schemas.microsoft.com/office/drawing/2014/main" id="{45C13FD6-8AB1-4E66-A412-318E4CCD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4" name="Picture 1">
          <a:extLst>
            <a:ext uri="{FF2B5EF4-FFF2-40B4-BE49-F238E27FC236}">
              <a16:creationId xmlns:a16="http://schemas.microsoft.com/office/drawing/2014/main" id="{8DD16DA6-89D5-41FC-8F29-BA4536387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5" name="Picture 1">
          <a:extLst>
            <a:ext uri="{FF2B5EF4-FFF2-40B4-BE49-F238E27FC236}">
              <a16:creationId xmlns:a16="http://schemas.microsoft.com/office/drawing/2014/main" id="{1268DBA8-0C0C-4041-A797-635A847D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6" name="Picture 1">
          <a:extLst>
            <a:ext uri="{FF2B5EF4-FFF2-40B4-BE49-F238E27FC236}">
              <a16:creationId xmlns:a16="http://schemas.microsoft.com/office/drawing/2014/main" id="{55CDCB8B-589F-435B-9FF1-3CE31A5AA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7" name="Picture 1">
          <a:extLst>
            <a:ext uri="{FF2B5EF4-FFF2-40B4-BE49-F238E27FC236}">
              <a16:creationId xmlns:a16="http://schemas.microsoft.com/office/drawing/2014/main" id="{8F7BEEB1-EA50-4BD7-BFFC-CA7C57D40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8" name="Picture 1">
          <a:extLst>
            <a:ext uri="{FF2B5EF4-FFF2-40B4-BE49-F238E27FC236}">
              <a16:creationId xmlns:a16="http://schemas.microsoft.com/office/drawing/2014/main" id="{C4BECF75-2536-4907-ADDE-19CFBA07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79" name="Picture 1">
          <a:extLst>
            <a:ext uri="{FF2B5EF4-FFF2-40B4-BE49-F238E27FC236}">
              <a16:creationId xmlns:a16="http://schemas.microsoft.com/office/drawing/2014/main" id="{CB9DE0E0-3C8B-4E7B-84D5-83CAD3E65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80" name="Picture 1">
          <a:extLst>
            <a:ext uri="{FF2B5EF4-FFF2-40B4-BE49-F238E27FC236}">
              <a16:creationId xmlns:a16="http://schemas.microsoft.com/office/drawing/2014/main" id="{085CCD83-91F2-4DF9-AA39-FB948C1E9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81" name="Picture 1">
          <a:extLst>
            <a:ext uri="{FF2B5EF4-FFF2-40B4-BE49-F238E27FC236}">
              <a16:creationId xmlns:a16="http://schemas.microsoft.com/office/drawing/2014/main" id="{06ABDEBB-AA0F-4103-8F3E-886F52BCF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82" name="Picture 1">
          <a:extLst>
            <a:ext uri="{FF2B5EF4-FFF2-40B4-BE49-F238E27FC236}">
              <a16:creationId xmlns:a16="http://schemas.microsoft.com/office/drawing/2014/main" id="{17979C2C-7B21-4E16-B4A6-2D7DD2A5B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111</xdr:row>
      <xdr:rowOff>144000</xdr:rowOff>
    </xdr:from>
    <xdr:ext cx="1294920" cy="57960"/>
    <xdr:pic>
      <xdr:nvPicPr>
        <xdr:cNvPr id="1183" name="Picture 1">
          <a:extLst>
            <a:ext uri="{FF2B5EF4-FFF2-40B4-BE49-F238E27FC236}">
              <a16:creationId xmlns:a16="http://schemas.microsoft.com/office/drawing/2014/main" id="{8CF6AB2D-8E90-4F5D-BFFD-84795AB59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222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4" name="Picture 1">
          <a:extLst>
            <a:ext uri="{FF2B5EF4-FFF2-40B4-BE49-F238E27FC236}">
              <a16:creationId xmlns:a16="http://schemas.microsoft.com/office/drawing/2014/main" id="{55D344BB-C096-4A6F-9227-C5F1DAD99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5" name="Picture 1">
          <a:extLst>
            <a:ext uri="{FF2B5EF4-FFF2-40B4-BE49-F238E27FC236}">
              <a16:creationId xmlns:a16="http://schemas.microsoft.com/office/drawing/2014/main" id="{2602985B-8C5A-4257-8664-31CF45360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6" name="Picture 1">
          <a:extLst>
            <a:ext uri="{FF2B5EF4-FFF2-40B4-BE49-F238E27FC236}">
              <a16:creationId xmlns:a16="http://schemas.microsoft.com/office/drawing/2014/main" id="{E06DE97D-6284-4762-A2F8-12511C53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7" name="Picture 1">
          <a:extLst>
            <a:ext uri="{FF2B5EF4-FFF2-40B4-BE49-F238E27FC236}">
              <a16:creationId xmlns:a16="http://schemas.microsoft.com/office/drawing/2014/main" id="{53962BE4-066E-40D2-8423-DC87517FF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8" name="Picture 1">
          <a:extLst>
            <a:ext uri="{FF2B5EF4-FFF2-40B4-BE49-F238E27FC236}">
              <a16:creationId xmlns:a16="http://schemas.microsoft.com/office/drawing/2014/main" id="{7D140DEE-8187-4EFA-B065-DB64EC5EC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89" name="Picture 1">
          <a:extLst>
            <a:ext uri="{FF2B5EF4-FFF2-40B4-BE49-F238E27FC236}">
              <a16:creationId xmlns:a16="http://schemas.microsoft.com/office/drawing/2014/main" id="{A6C69D12-23CB-494E-832C-39DF40740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0" name="Picture 1">
          <a:extLst>
            <a:ext uri="{FF2B5EF4-FFF2-40B4-BE49-F238E27FC236}">
              <a16:creationId xmlns:a16="http://schemas.microsoft.com/office/drawing/2014/main" id="{4A4487D5-8689-42F3-BB43-A056508AF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1" name="Picture 1">
          <a:extLst>
            <a:ext uri="{FF2B5EF4-FFF2-40B4-BE49-F238E27FC236}">
              <a16:creationId xmlns:a16="http://schemas.microsoft.com/office/drawing/2014/main" id="{3C144167-5145-44C5-9392-B72F39F39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2" name="Picture 1">
          <a:extLst>
            <a:ext uri="{FF2B5EF4-FFF2-40B4-BE49-F238E27FC236}">
              <a16:creationId xmlns:a16="http://schemas.microsoft.com/office/drawing/2014/main" id="{D82528E1-7535-4C96-A326-B3F804FDE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3" name="Picture 1">
          <a:extLst>
            <a:ext uri="{FF2B5EF4-FFF2-40B4-BE49-F238E27FC236}">
              <a16:creationId xmlns:a16="http://schemas.microsoft.com/office/drawing/2014/main" id="{F865EDA4-F29F-42CA-93A4-865864707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4" name="Picture 1">
          <a:extLst>
            <a:ext uri="{FF2B5EF4-FFF2-40B4-BE49-F238E27FC236}">
              <a16:creationId xmlns:a16="http://schemas.microsoft.com/office/drawing/2014/main" id="{7B2159D1-FA8E-4F5D-A2BC-17CB08A71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5" name="Picture 1">
          <a:extLst>
            <a:ext uri="{FF2B5EF4-FFF2-40B4-BE49-F238E27FC236}">
              <a16:creationId xmlns:a16="http://schemas.microsoft.com/office/drawing/2014/main" id="{FE2B4A9D-7252-4B12-A7B7-ADB19F9DC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6" name="Picture 1">
          <a:extLst>
            <a:ext uri="{FF2B5EF4-FFF2-40B4-BE49-F238E27FC236}">
              <a16:creationId xmlns:a16="http://schemas.microsoft.com/office/drawing/2014/main" id="{4E7AE608-33F1-484E-8523-784A022CB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7" name="Picture 1">
          <a:extLst>
            <a:ext uri="{FF2B5EF4-FFF2-40B4-BE49-F238E27FC236}">
              <a16:creationId xmlns:a16="http://schemas.microsoft.com/office/drawing/2014/main" id="{549C2127-982A-4F9F-AF38-1FFFF66A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8" name="Picture 1">
          <a:extLst>
            <a:ext uri="{FF2B5EF4-FFF2-40B4-BE49-F238E27FC236}">
              <a16:creationId xmlns:a16="http://schemas.microsoft.com/office/drawing/2014/main" id="{023A3793-4749-4C51-BF12-F6ABB3DF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199" name="Picture 1">
          <a:extLst>
            <a:ext uri="{FF2B5EF4-FFF2-40B4-BE49-F238E27FC236}">
              <a16:creationId xmlns:a16="http://schemas.microsoft.com/office/drawing/2014/main" id="{488BE1F3-7BA5-486A-8133-3B59BB44F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0" name="Picture 1">
          <a:extLst>
            <a:ext uri="{FF2B5EF4-FFF2-40B4-BE49-F238E27FC236}">
              <a16:creationId xmlns:a16="http://schemas.microsoft.com/office/drawing/2014/main" id="{94FF5DA1-B686-4486-90F2-F9DD051EF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1" name="Picture 1">
          <a:extLst>
            <a:ext uri="{FF2B5EF4-FFF2-40B4-BE49-F238E27FC236}">
              <a16:creationId xmlns:a16="http://schemas.microsoft.com/office/drawing/2014/main" id="{CE4BBCE5-4800-4760-BB2E-F70AA3C01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2" name="Picture 1">
          <a:extLst>
            <a:ext uri="{FF2B5EF4-FFF2-40B4-BE49-F238E27FC236}">
              <a16:creationId xmlns:a16="http://schemas.microsoft.com/office/drawing/2014/main" id="{8312F953-3A65-4FE7-BE11-B9429E129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3" name="Picture 1">
          <a:extLst>
            <a:ext uri="{FF2B5EF4-FFF2-40B4-BE49-F238E27FC236}">
              <a16:creationId xmlns:a16="http://schemas.microsoft.com/office/drawing/2014/main" id="{43381055-8174-49E7-BE39-5CB64303F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4" name="Picture 1">
          <a:extLst>
            <a:ext uri="{FF2B5EF4-FFF2-40B4-BE49-F238E27FC236}">
              <a16:creationId xmlns:a16="http://schemas.microsoft.com/office/drawing/2014/main" id="{9BA57822-C721-47A6-A88F-4C0C7620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5" name="Picture 1">
          <a:extLst>
            <a:ext uri="{FF2B5EF4-FFF2-40B4-BE49-F238E27FC236}">
              <a16:creationId xmlns:a16="http://schemas.microsoft.com/office/drawing/2014/main" id="{C3D6023D-020A-49C2-81E2-6D93E8BE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6" name="Picture 1">
          <a:extLst>
            <a:ext uri="{FF2B5EF4-FFF2-40B4-BE49-F238E27FC236}">
              <a16:creationId xmlns:a16="http://schemas.microsoft.com/office/drawing/2014/main" id="{575E45BE-3BA5-448C-BD3C-BEF752F9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7" name="Picture 1">
          <a:extLst>
            <a:ext uri="{FF2B5EF4-FFF2-40B4-BE49-F238E27FC236}">
              <a16:creationId xmlns:a16="http://schemas.microsoft.com/office/drawing/2014/main" id="{ACBCE8D7-CA0E-4E7D-85EB-6FC1F5CC1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8" name="Picture 1">
          <a:extLst>
            <a:ext uri="{FF2B5EF4-FFF2-40B4-BE49-F238E27FC236}">
              <a16:creationId xmlns:a16="http://schemas.microsoft.com/office/drawing/2014/main" id="{33A2BBC3-9ABB-41ED-BEE3-621986A5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09" name="Picture 1">
          <a:extLst>
            <a:ext uri="{FF2B5EF4-FFF2-40B4-BE49-F238E27FC236}">
              <a16:creationId xmlns:a16="http://schemas.microsoft.com/office/drawing/2014/main" id="{666E42B5-0DD1-49C2-9DCA-5F5B2BBE6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0" name="Picture 1">
          <a:extLst>
            <a:ext uri="{FF2B5EF4-FFF2-40B4-BE49-F238E27FC236}">
              <a16:creationId xmlns:a16="http://schemas.microsoft.com/office/drawing/2014/main" id="{6B406683-B6BC-4617-860C-D38715B6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1" name="Picture 1">
          <a:extLst>
            <a:ext uri="{FF2B5EF4-FFF2-40B4-BE49-F238E27FC236}">
              <a16:creationId xmlns:a16="http://schemas.microsoft.com/office/drawing/2014/main" id="{DE566C33-1AF2-4015-8B8C-11C94EDE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2" name="Picture 1">
          <a:extLst>
            <a:ext uri="{FF2B5EF4-FFF2-40B4-BE49-F238E27FC236}">
              <a16:creationId xmlns:a16="http://schemas.microsoft.com/office/drawing/2014/main" id="{5AF80C78-85A5-4977-964F-E798E884F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3" name="Picture 1">
          <a:extLst>
            <a:ext uri="{FF2B5EF4-FFF2-40B4-BE49-F238E27FC236}">
              <a16:creationId xmlns:a16="http://schemas.microsoft.com/office/drawing/2014/main" id="{7083F4E8-2A0B-41C9-B00B-1178A4D88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4" name="Picture 1">
          <a:extLst>
            <a:ext uri="{FF2B5EF4-FFF2-40B4-BE49-F238E27FC236}">
              <a16:creationId xmlns:a16="http://schemas.microsoft.com/office/drawing/2014/main" id="{F0BF5486-8F91-4489-AFF8-AE85E5F02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5" name="Picture 1">
          <a:extLst>
            <a:ext uri="{FF2B5EF4-FFF2-40B4-BE49-F238E27FC236}">
              <a16:creationId xmlns:a16="http://schemas.microsoft.com/office/drawing/2014/main" id="{23934CDF-741F-460F-BC5A-9E8D33300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112</xdr:row>
      <xdr:rowOff>144360</xdr:rowOff>
    </xdr:from>
    <xdr:ext cx="1294920" cy="57240"/>
    <xdr:pic>
      <xdr:nvPicPr>
        <xdr:cNvPr id="1216" name="Picture 1">
          <a:extLst>
            <a:ext uri="{FF2B5EF4-FFF2-40B4-BE49-F238E27FC236}">
              <a16:creationId xmlns:a16="http://schemas.microsoft.com/office/drawing/2014/main" id="{69A29D92-4882-430E-AAC8-2EFF025B3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413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17" name="Picture 1">
          <a:extLst>
            <a:ext uri="{FF2B5EF4-FFF2-40B4-BE49-F238E27FC236}">
              <a16:creationId xmlns:a16="http://schemas.microsoft.com/office/drawing/2014/main" id="{2AFD1FBF-C149-4FDC-AE37-7B19F1E91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18" name="Picture 1">
          <a:extLst>
            <a:ext uri="{FF2B5EF4-FFF2-40B4-BE49-F238E27FC236}">
              <a16:creationId xmlns:a16="http://schemas.microsoft.com/office/drawing/2014/main" id="{D38A3FCE-6057-4F83-86D4-FAFF39216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19" name="Picture 1">
          <a:extLst>
            <a:ext uri="{FF2B5EF4-FFF2-40B4-BE49-F238E27FC236}">
              <a16:creationId xmlns:a16="http://schemas.microsoft.com/office/drawing/2014/main" id="{ED3919A1-11AC-46AC-978B-DB7F127F5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0" name="Picture 1">
          <a:extLst>
            <a:ext uri="{FF2B5EF4-FFF2-40B4-BE49-F238E27FC236}">
              <a16:creationId xmlns:a16="http://schemas.microsoft.com/office/drawing/2014/main" id="{9EE66131-04EB-48C3-9942-FFF6D383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1" name="Picture 1">
          <a:extLst>
            <a:ext uri="{FF2B5EF4-FFF2-40B4-BE49-F238E27FC236}">
              <a16:creationId xmlns:a16="http://schemas.microsoft.com/office/drawing/2014/main" id="{0D605344-913F-4B8B-82BA-163110E4A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2" name="Picture 1">
          <a:extLst>
            <a:ext uri="{FF2B5EF4-FFF2-40B4-BE49-F238E27FC236}">
              <a16:creationId xmlns:a16="http://schemas.microsoft.com/office/drawing/2014/main" id="{68A475B7-34C5-4D5A-8167-DCAE78967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3" name="Picture 1">
          <a:extLst>
            <a:ext uri="{FF2B5EF4-FFF2-40B4-BE49-F238E27FC236}">
              <a16:creationId xmlns:a16="http://schemas.microsoft.com/office/drawing/2014/main" id="{F592C9DC-5046-4DA3-8017-F9C3D52FB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4" name="Picture 1">
          <a:extLst>
            <a:ext uri="{FF2B5EF4-FFF2-40B4-BE49-F238E27FC236}">
              <a16:creationId xmlns:a16="http://schemas.microsoft.com/office/drawing/2014/main" id="{CF77A9F5-526C-41AD-9F08-98E445B6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5" name="Picture 1">
          <a:extLst>
            <a:ext uri="{FF2B5EF4-FFF2-40B4-BE49-F238E27FC236}">
              <a16:creationId xmlns:a16="http://schemas.microsoft.com/office/drawing/2014/main" id="{35B282C6-D103-4912-8DE6-F1A1C3CDC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6" name="Picture 1">
          <a:extLst>
            <a:ext uri="{FF2B5EF4-FFF2-40B4-BE49-F238E27FC236}">
              <a16:creationId xmlns:a16="http://schemas.microsoft.com/office/drawing/2014/main" id="{5D2288A4-4063-4786-8421-126DB07CE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7" name="Picture 1">
          <a:extLst>
            <a:ext uri="{FF2B5EF4-FFF2-40B4-BE49-F238E27FC236}">
              <a16:creationId xmlns:a16="http://schemas.microsoft.com/office/drawing/2014/main" id="{335AA963-3973-43D2-AE49-B722367AD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8" name="Picture 1">
          <a:extLst>
            <a:ext uri="{FF2B5EF4-FFF2-40B4-BE49-F238E27FC236}">
              <a16:creationId xmlns:a16="http://schemas.microsoft.com/office/drawing/2014/main" id="{8A08E9C5-D243-4586-8A9A-5C248BB7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29" name="Picture 1">
          <a:extLst>
            <a:ext uri="{FF2B5EF4-FFF2-40B4-BE49-F238E27FC236}">
              <a16:creationId xmlns:a16="http://schemas.microsoft.com/office/drawing/2014/main" id="{1A4EECD1-0CA9-4B5D-9406-B8287C2A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0" name="Picture 1">
          <a:extLst>
            <a:ext uri="{FF2B5EF4-FFF2-40B4-BE49-F238E27FC236}">
              <a16:creationId xmlns:a16="http://schemas.microsoft.com/office/drawing/2014/main" id="{FF02B73B-8D3C-46DA-AE10-5DB5CC951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1" name="Picture 1">
          <a:extLst>
            <a:ext uri="{FF2B5EF4-FFF2-40B4-BE49-F238E27FC236}">
              <a16:creationId xmlns:a16="http://schemas.microsoft.com/office/drawing/2014/main" id="{C8CF9C72-967B-4C5B-8CDA-C44A766C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2" name="Picture 1">
          <a:extLst>
            <a:ext uri="{FF2B5EF4-FFF2-40B4-BE49-F238E27FC236}">
              <a16:creationId xmlns:a16="http://schemas.microsoft.com/office/drawing/2014/main" id="{A1BDE768-52C4-45F2-98D5-8E96E5A3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3" name="Picture 1">
          <a:extLst>
            <a:ext uri="{FF2B5EF4-FFF2-40B4-BE49-F238E27FC236}">
              <a16:creationId xmlns:a16="http://schemas.microsoft.com/office/drawing/2014/main" id="{4603A944-E864-4B5A-804F-CF0660D3B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4" name="Picture 1">
          <a:extLst>
            <a:ext uri="{FF2B5EF4-FFF2-40B4-BE49-F238E27FC236}">
              <a16:creationId xmlns:a16="http://schemas.microsoft.com/office/drawing/2014/main" id="{F8C607B5-77DD-4371-899D-B4A221BCA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5" name="Picture 1">
          <a:extLst>
            <a:ext uri="{FF2B5EF4-FFF2-40B4-BE49-F238E27FC236}">
              <a16:creationId xmlns:a16="http://schemas.microsoft.com/office/drawing/2014/main" id="{58A7F481-1C2F-45AF-A98D-F0959EBDF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6" name="Picture 1">
          <a:extLst>
            <a:ext uri="{FF2B5EF4-FFF2-40B4-BE49-F238E27FC236}">
              <a16:creationId xmlns:a16="http://schemas.microsoft.com/office/drawing/2014/main" id="{129DDC15-1D4E-4986-A47C-8563CA796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7" name="Picture 1">
          <a:extLst>
            <a:ext uri="{FF2B5EF4-FFF2-40B4-BE49-F238E27FC236}">
              <a16:creationId xmlns:a16="http://schemas.microsoft.com/office/drawing/2014/main" id="{9157AC85-3259-42FA-9A81-91480C7C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8" name="Picture 1">
          <a:extLst>
            <a:ext uri="{FF2B5EF4-FFF2-40B4-BE49-F238E27FC236}">
              <a16:creationId xmlns:a16="http://schemas.microsoft.com/office/drawing/2014/main" id="{62B382BC-9843-48FF-87A2-DE842648E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39" name="Picture 1">
          <a:extLst>
            <a:ext uri="{FF2B5EF4-FFF2-40B4-BE49-F238E27FC236}">
              <a16:creationId xmlns:a16="http://schemas.microsoft.com/office/drawing/2014/main" id="{B8104630-055C-4117-A817-29810CE44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0" name="Picture 1">
          <a:extLst>
            <a:ext uri="{FF2B5EF4-FFF2-40B4-BE49-F238E27FC236}">
              <a16:creationId xmlns:a16="http://schemas.microsoft.com/office/drawing/2014/main" id="{1DA476F2-B291-4F28-9F36-C7965B3A6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1" name="Picture 1">
          <a:extLst>
            <a:ext uri="{FF2B5EF4-FFF2-40B4-BE49-F238E27FC236}">
              <a16:creationId xmlns:a16="http://schemas.microsoft.com/office/drawing/2014/main" id="{B27B3885-CD63-46F1-8D03-B74808E22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2" name="Picture 1">
          <a:extLst>
            <a:ext uri="{FF2B5EF4-FFF2-40B4-BE49-F238E27FC236}">
              <a16:creationId xmlns:a16="http://schemas.microsoft.com/office/drawing/2014/main" id="{D64944A2-D764-4DA7-B306-A178A785E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3" name="Picture 1">
          <a:extLst>
            <a:ext uri="{FF2B5EF4-FFF2-40B4-BE49-F238E27FC236}">
              <a16:creationId xmlns:a16="http://schemas.microsoft.com/office/drawing/2014/main" id="{CB0E8B5C-2AC5-4226-B897-033DEDA3A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4" name="Picture 1">
          <a:extLst>
            <a:ext uri="{FF2B5EF4-FFF2-40B4-BE49-F238E27FC236}">
              <a16:creationId xmlns:a16="http://schemas.microsoft.com/office/drawing/2014/main" id="{6F6F4378-9ADA-4BFA-9986-9F72AEB8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5" name="Picture 1">
          <a:extLst>
            <a:ext uri="{FF2B5EF4-FFF2-40B4-BE49-F238E27FC236}">
              <a16:creationId xmlns:a16="http://schemas.microsoft.com/office/drawing/2014/main" id="{84B7BCBE-D1D1-4BE1-842F-F3324553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6" name="Picture 1">
          <a:extLst>
            <a:ext uri="{FF2B5EF4-FFF2-40B4-BE49-F238E27FC236}">
              <a16:creationId xmlns:a16="http://schemas.microsoft.com/office/drawing/2014/main" id="{5313CE49-FE8C-42F4-B92B-01454A48F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7" name="Picture 1">
          <a:extLst>
            <a:ext uri="{FF2B5EF4-FFF2-40B4-BE49-F238E27FC236}">
              <a16:creationId xmlns:a16="http://schemas.microsoft.com/office/drawing/2014/main" id="{72A8EC5D-48EC-4A1C-8910-01853A4BA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8" name="Picture 1">
          <a:extLst>
            <a:ext uri="{FF2B5EF4-FFF2-40B4-BE49-F238E27FC236}">
              <a16:creationId xmlns:a16="http://schemas.microsoft.com/office/drawing/2014/main" id="{C85FC93A-491E-442D-A9C5-85AE735E3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113</xdr:row>
      <xdr:rowOff>144000</xdr:rowOff>
    </xdr:from>
    <xdr:ext cx="1294920" cy="57960"/>
    <xdr:pic>
      <xdr:nvPicPr>
        <xdr:cNvPr id="1249" name="Picture 1">
          <a:extLst>
            <a:ext uri="{FF2B5EF4-FFF2-40B4-BE49-F238E27FC236}">
              <a16:creationId xmlns:a16="http://schemas.microsoft.com/office/drawing/2014/main" id="{8B491A78-0B63-4338-8161-37A73157A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603950"/>
          <a:ext cx="1294920" cy="57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0" name="Picture 1">
          <a:extLst>
            <a:ext uri="{FF2B5EF4-FFF2-40B4-BE49-F238E27FC236}">
              <a16:creationId xmlns:a16="http://schemas.microsoft.com/office/drawing/2014/main" id="{7887104A-D3CF-43E0-9CD0-65924A187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1" name="Picture 1">
          <a:extLst>
            <a:ext uri="{FF2B5EF4-FFF2-40B4-BE49-F238E27FC236}">
              <a16:creationId xmlns:a16="http://schemas.microsoft.com/office/drawing/2014/main" id="{CEF9012E-5A1D-4188-AFE0-DA9E8CCD7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2" name="Picture 1">
          <a:extLst>
            <a:ext uri="{FF2B5EF4-FFF2-40B4-BE49-F238E27FC236}">
              <a16:creationId xmlns:a16="http://schemas.microsoft.com/office/drawing/2014/main" id="{90BED239-9E5D-4AF2-BD53-6BBAACAED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3" name="Picture 1">
          <a:extLst>
            <a:ext uri="{FF2B5EF4-FFF2-40B4-BE49-F238E27FC236}">
              <a16:creationId xmlns:a16="http://schemas.microsoft.com/office/drawing/2014/main" id="{6507F284-5CAC-4D45-93A4-6FEC07C5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4" name="Picture 1">
          <a:extLst>
            <a:ext uri="{FF2B5EF4-FFF2-40B4-BE49-F238E27FC236}">
              <a16:creationId xmlns:a16="http://schemas.microsoft.com/office/drawing/2014/main" id="{43576387-B20C-443B-ADBD-8D1478E01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5" name="Picture 1">
          <a:extLst>
            <a:ext uri="{FF2B5EF4-FFF2-40B4-BE49-F238E27FC236}">
              <a16:creationId xmlns:a16="http://schemas.microsoft.com/office/drawing/2014/main" id="{73E1F10F-C85B-4699-A866-4FEB85E4B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6" name="Picture 1">
          <a:extLst>
            <a:ext uri="{FF2B5EF4-FFF2-40B4-BE49-F238E27FC236}">
              <a16:creationId xmlns:a16="http://schemas.microsoft.com/office/drawing/2014/main" id="{12B40F39-7408-4EA3-9C6F-4E96AFF6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7" name="Picture 1">
          <a:extLst>
            <a:ext uri="{FF2B5EF4-FFF2-40B4-BE49-F238E27FC236}">
              <a16:creationId xmlns:a16="http://schemas.microsoft.com/office/drawing/2014/main" id="{5B239E10-2FD5-4F9C-AD85-F70A729D0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8" name="Picture 1">
          <a:extLst>
            <a:ext uri="{FF2B5EF4-FFF2-40B4-BE49-F238E27FC236}">
              <a16:creationId xmlns:a16="http://schemas.microsoft.com/office/drawing/2014/main" id="{6404D2CE-84E0-4954-8394-922780F8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59" name="Picture 1">
          <a:extLst>
            <a:ext uri="{FF2B5EF4-FFF2-40B4-BE49-F238E27FC236}">
              <a16:creationId xmlns:a16="http://schemas.microsoft.com/office/drawing/2014/main" id="{132C0608-304D-4AA0-86EB-D7891214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0" name="Picture 1">
          <a:extLst>
            <a:ext uri="{FF2B5EF4-FFF2-40B4-BE49-F238E27FC236}">
              <a16:creationId xmlns:a16="http://schemas.microsoft.com/office/drawing/2014/main" id="{B4E8C97D-D195-496E-A995-A3872FEBE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1" name="Picture 1">
          <a:extLst>
            <a:ext uri="{FF2B5EF4-FFF2-40B4-BE49-F238E27FC236}">
              <a16:creationId xmlns:a16="http://schemas.microsoft.com/office/drawing/2014/main" id="{FEAC46BE-F81C-4733-99EA-CB8969365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2" name="Picture 1">
          <a:extLst>
            <a:ext uri="{FF2B5EF4-FFF2-40B4-BE49-F238E27FC236}">
              <a16:creationId xmlns:a16="http://schemas.microsoft.com/office/drawing/2014/main" id="{EEDCD7E3-7C0E-4255-A8CE-DF78DA919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3" name="Picture 1">
          <a:extLst>
            <a:ext uri="{FF2B5EF4-FFF2-40B4-BE49-F238E27FC236}">
              <a16:creationId xmlns:a16="http://schemas.microsoft.com/office/drawing/2014/main" id="{84D393DD-3285-46B4-9BA7-4DA695EB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4" name="Picture 1">
          <a:extLst>
            <a:ext uri="{FF2B5EF4-FFF2-40B4-BE49-F238E27FC236}">
              <a16:creationId xmlns:a16="http://schemas.microsoft.com/office/drawing/2014/main" id="{22C4AB2A-8673-44D1-A640-2796445A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5" name="Picture 1">
          <a:extLst>
            <a:ext uri="{FF2B5EF4-FFF2-40B4-BE49-F238E27FC236}">
              <a16:creationId xmlns:a16="http://schemas.microsoft.com/office/drawing/2014/main" id="{654C02E9-21E5-4A85-9103-F8277B57B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6" name="Picture 1">
          <a:extLst>
            <a:ext uri="{FF2B5EF4-FFF2-40B4-BE49-F238E27FC236}">
              <a16:creationId xmlns:a16="http://schemas.microsoft.com/office/drawing/2014/main" id="{701D7F50-9B95-4C4E-9F09-24EC56E6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7" name="Picture 1">
          <a:extLst>
            <a:ext uri="{FF2B5EF4-FFF2-40B4-BE49-F238E27FC236}">
              <a16:creationId xmlns:a16="http://schemas.microsoft.com/office/drawing/2014/main" id="{972EBEC1-5900-44C0-85C1-39E0568CF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8" name="Picture 1">
          <a:extLst>
            <a:ext uri="{FF2B5EF4-FFF2-40B4-BE49-F238E27FC236}">
              <a16:creationId xmlns:a16="http://schemas.microsoft.com/office/drawing/2014/main" id="{DB001018-EEB9-4D60-9F61-760C2F52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69" name="Picture 1">
          <a:extLst>
            <a:ext uri="{FF2B5EF4-FFF2-40B4-BE49-F238E27FC236}">
              <a16:creationId xmlns:a16="http://schemas.microsoft.com/office/drawing/2014/main" id="{4E3985F7-A4DA-4E47-BE85-BAA78708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0" name="Picture 1">
          <a:extLst>
            <a:ext uri="{FF2B5EF4-FFF2-40B4-BE49-F238E27FC236}">
              <a16:creationId xmlns:a16="http://schemas.microsoft.com/office/drawing/2014/main" id="{CAC83F81-76CB-4A50-8E5B-F7F64F67B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1" name="Picture 1">
          <a:extLst>
            <a:ext uri="{FF2B5EF4-FFF2-40B4-BE49-F238E27FC236}">
              <a16:creationId xmlns:a16="http://schemas.microsoft.com/office/drawing/2014/main" id="{93B024D4-2014-4640-B81B-3286C816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2" name="Picture 1">
          <a:extLst>
            <a:ext uri="{FF2B5EF4-FFF2-40B4-BE49-F238E27FC236}">
              <a16:creationId xmlns:a16="http://schemas.microsoft.com/office/drawing/2014/main" id="{B054EA27-879D-450C-810D-143556F0D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3" name="Picture 1">
          <a:extLst>
            <a:ext uri="{FF2B5EF4-FFF2-40B4-BE49-F238E27FC236}">
              <a16:creationId xmlns:a16="http://schemas.microsoft.com/office/drawing/2014/main" id="{C94D9FEF-AA20-4ED6-857B-D737721C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4" name="Picture 1">
          <a:extLst>
            <a:ext uri="{FF2B5EF4-FFF2-40B4-BE49-F238E27FC236}">
              <a16:creationId xmlns:a16="http://schemas.microsoft.com/office/drawing/2014/main" id="{F1CA6196-EA81-4C85-AC6B-87698C2B5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5" name="Picture 1">
          <a:extLst>
            <a:ext uri="{FF2B5EF4-FFF2-40B4-BE49-F238E27FC236}">
              <a16:creationId xmlns:a16="http://schemas.microsoft.com/office/drawing/2014/main" id="{90C2027E-65B1-4E95-AFBC-3B978CD7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6" name="Picture 1">
          <a:extLst>
            <a:ext uri="{FF2B5EF4-FFF2-40B4-BE49-F238E27FC236}">
              <a16:creationId xmlns:a16="http://schemas.microsoft.com/office/drawing/2014/main" id="{233EDD37-5FE0-43BF-9303-6E9C6D8A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7" name="Picture 1">
          <a:extLst>
            <a:ext uri="{FF2B5EF4-FFF2-40B4-BE49-F238E27FC236}">
              <a16:creationId xmlns:a16="http://schemas.microsoft.com/office/drawing/2014/main" id="{CF4BD317-BC3B-4A8D-BF1E-DD276AA3E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8" name="Picture 1">
          <a:extLst>
            <a:ext uri="{FF2B5EF4-FFF2-40B4-BE49-F238E27FC236}">
              <a16:creationId xmlns:a16="http://schemas.microsoft.com/office/drawing/2014/main" id="{C0CA7DC2-41FC-46A7-BA29-40CEEE517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79" name="Picture 1">
          <a:extLst>
            <a:ext uri="{FF2B5EF4-FFF2-40B4-BE49-F238E27FC236}">
              <a16:creationId xmlns:a16="http://schemas.microsoft.com/office/drawing/2014/main" id="{51CABBA2-E799-49C7-9BC5-669BC6A8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80" name="Picture 1">
          <a:extLst>
            <a:ext uri="{FF2B5EF4-FFF2-40B4-BE49-F238E27FC236}">
              <a16:creationId xmlns:a16="http://schemas.microsoft.com/office/drawing/2014/main" id="{37C9498B-0D83-41DF-B25B-2D5E836FE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81" name="Picture 1">
          <a:extLst>
            <a:ext uri="{FF2B5EF4-FFF2-40B4-BE49-F238E27FC236}">
              <a16:creationId xmlns:a16="http://schemas.microsoft.com/office/drawing/2014/main" id="{52FA153B-746C-430A-A458-DDF23704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0</xdr:colOff>
      <xdr:row>114</xdr:row>
      <xdr:rowOff>144360</xdr:rowOff>
    </xdr:from>
    <xdr:ext cx="1294920" cy="57240"/>
    <xdr:pic>
      <xdr:nvPicPr>
        <xdr:cNvPr id="1282" name="Picture 1">
          <a:extLst>
            <a:ext uri="{FF2B5EF4-FFF2-40B4-BE49-F238E27FC236}">
              <a16:creationId xmlns:a16="http://schemas.microsoft.com/office/drawing/2014/main" id="{66F7BB1D-29AF-436B-926B-61595495E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288375" y="22794810"/>
          <a:ext cx="1294920" cy="572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1480-0EA2-41F9-8B65-621D1D7CE2D1}">
  <dimension ref="A1:XEY117"/>
  <sheetViews>
    <sheetView tabSelected="1" workbookViewId="0">
      <selection activeCell="Q97" sqref="Q97"/>
    </sheetView>
  </sheetViews>
  <sheetFormatPr baseColWidth="10" defaultRowHeight="15" x14ac:dyDescent="0.25"/>
  <cols>
    <col min="1" max="1" width="8.42578125" style="106" customWidth="1"/>
    <col min="2" max="2" width="44.42578125" style="1" customWidth="1"/>
    <col min="3" max="3" width="16.7109375" style="107" customWidth="1"/>
    <col min="4" max="4" width="15.42578125" style="1" customWidth="1"/>
    <col min="5" max="5" width="15.42578125" style="107" customWidth="1"/>
    <col min="6" max="6" width="15.42578125" style="108" customWidth="1"/>
    <col min="7" max="7" width="15.42578125" style="1" customWidth="1"/>
    <col min="8" max="8" width="15.42578125" style="108" customWidth="1"/>
    <col min="9" max="10" width="15.42578125" style="109" customWidth="1"/>
    <col min="11" max="11" width="14.7109375" style="108" customWidth="1"/>
    <col min="12" max="13" width="15.42578125" style="108" customWidth="1"/>
    <col min="14" max="14" width="13" style="108" customWidth="1"/>
    <col min="15" max="15" width="15.42578125" style="108" customWidth="1"/>
    <col min="16" max="16" width="18.85546875" style="108" customWidth="1"/>
    <col min="17" max="17" width="18.42578125" style="108" customWidth="1"/>
    <col min="18" max="1019" width="15.42578125" style="1" customWidth="1"/>
    <col min="16380" max="16384" width="11.42578125" style="1"/>
  </cols>
  <sheetData>
    <row r="1" spans="1:19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x14ac:dyDescent="0.25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 thickBot="1" x14ac:dyDescent="0.3">
      <c r="A5" s="134" t="s">
        <v>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s="2" customFormat="1" ht="70.150000000000006" customHeight="1" thickBot="1" x14ac:dyDescent="0.25">
      <c r="A6" s="116" t="s">
        <v>5</v>
      </c>
      <c r="B6" s="117" t="s">
        <v>6</v>
      </c>
      <c r="C6" s="118" t="s">
        <v>7</v>
      </c>
      <c r="D6" s="119" t="s">
        <v>8</v>
      </c>
      <c r="E6" s="120" t="s">
        <v>9</v>
      </c>
      <c r="F6" s="121" t="s">
        <v>10</v>
      </c>
      <c r="G6" s="122" t="s">
        <v>11</v>
      </c>
      <c r="H6" s="123" t="s">
        <v>12</v>
      </c>
      <c r="I6" s="124" t="s">
        <v>13</v>
      </c>
      <c r="J6" s="125" t="s">
        <v>14</v>
      </c>
      <c r="K6" s="121" t="s">
        <v>15</v>
      </c>
      <c r="L6" s="123" t="s">
        <v>16</v>
      </c>
      <c r="M6" s="121" t="s">
        <v>17</v>
      </c>
      <c r="N6" s="126" t="s">
        <v>18</v>
      </c>
      <c r="O6" s="127" t="s">
        <v>19</v>
      </c>
      <c r="P6" s="121" t="s">
        <v>20</v>
      </c>
      <c r="Q6" s="128" t="s">
        <v>21</v>
      </c>
      <c r="R6" s="129" t="s">
        <v>22</v>
      </c>
      <c r="S6" s="130" t="s">
        <v>23</v>
      </c>
    </row>
    <row r="7" spans="1:19" s="2" customFormat="1" ht="16.5" customHeight="1" x14ac:dyDescent="0.2">
      <c r="A7" s="135" t="s">
        <v>24</v>
      </c>
      <c r="B7" s="135"/>
      <c r="C7" s="110">
        <f>C8+C105</f>
        <v>2919132</v>
      </c>
      <c r="D7" s="111">
        <f>D8+D107</f>
        <v>0</v>
      </c>
      <c r="E7" s="112">
        <f>E8+E105</f>
        <v>2919132</v>
      </c>
      <c r="F7" s="111">
        <f>F8+F105</f>
        <v>0</v>
      </c>
      <c r="G7" s="111">
        <f t="shared" ref="G7:P7" si="0">G8+G105</f>
        <v>2919132</v>
      </c>
      <c r="H7" s="113">
        <f t="shared" si="0"/>
        <v>1424026</v>
      </c>
      <c r="I7" s="111">
        <f t="shared" si="0"/>
        <v>146865.60000000001</v>
      </c>
      <c r="J7" s="111">
        <f t="shared" si="0"/>
        <v>861020.3600000001</v>
      </c>
      <c r="K7" s="111">
        <f t="shared" si="0"/>
        <v>1237732.58</v>
      </c>
      <c r="L7" s="111">
        <f>L8+L105</f>
        <v>333158.73999999993</v>
      </c>
      <c r="M7" s="111">
        <f t="shared" si="0"/>
        <v>1495106</v>
      </c>
      <c r="N7" s="111">
        <f t="shared" si="0"/>
        <v>1681399.1400000006</v>
      </c>
      <c r="O7" s="114">
        <f t="shared" si="0"/>
        <v>590395.3600000001</v>
      </c>
      <c r="P7" s="111">
        <f t="shared" si="0"/>
        <v>647337.22</v>
      </c>
      <c r="Q7" s="115">
        <f t="shared" ref="Q7:Q32" si="1">SUM(K7/H7*1)</f>
        <v>0.86917835769852525</v>
      </c>
      <c r="R7" s="115">
        <f t="shared" ref="R7:R32" si="2">SUM(J7/G7*1)</f>
        <v>0.29495766549782609</v>
      </c>
      <c r="S7" s="115">
        <f t="shared" ref="S7:S32" si="3">SUM(K7/G7*1)</f>
        <v>0.42400706100306534</v>
      </c>
    </row>
    <row r="8" spans="1:19" s="2" customFormat="1" ht="16.5" customHeight="1" x14ac:dyDescent="0.2">
      <c r="A8" s="131" t="s">
        <v>25</v>
      </c>
      <c r="B8" s="131"/>
      <c r="C8" s="5">
        <f>C9+C20+C55+C90+C98</f>
        <v>2869132</v>
      </c>
      <c r="D8" s="6">
        <f>D9+D20+D55+D90+D98+D105</f>
        <v>0</v>
      </c>
      <c r="E8" s="7">
        <f>E9+E20+E55+E90+E98</f>
        <v>2869132</v>
      </c>
      <c r="F8" s="6">
        <f>F9+F20+F55+F90+F98+F105</f>
        <v>0</v>
      </c>
      <c r="G8" s="6">
        <f t="shared" ref="G8:P8" si="4">G9+G20+G55+G90+G98</f>
        <v>2869132</v>
      </c>
      <c r="H8" s="8">
        <f t="shared" si="4"/>
        <v>1374026</v>
      </c>
      <c r="I8" s="6">
        <f t="shared" si="4"/>
        <v>146865.60000000001</v>
      </c>
      <c r="J8" s="6">
        <f t="shared" si="4"/>
        <v>814376.38000000012</v>
      </c>
      <c r="K8" s="6">
        <f t="shared" si="4"/>
        <v>1188417.1000000001</v>
      </c>
      <c r="L8" s="6">
        <f t="shared" si="4"/>
        <v>332474.21999999991</v>
      </c>
      <c r="M8" s="6">
        <f t="shared" si="4"/>
        <v>1495106</v>
      </c>
      <c r="N8" s="6">
        <f t="shared" si="4"/>
        <v>1680714.6200000006</v>
      </c>
      <c r="O8" s="9">
        <f t="shared" si="4"/>
        <v>554956.96000000008</v>
      </c>
      <c r="P8" s="6">
        <f t="shared" si="4"/>
        <v>633460.14</v>
      </c>
      <c r="Q8" s="10">
        <f t="shared" si="1"/>
        <v>0.86491602051198457</v>
      </c>
      <c r="R8" s="10">
        <f t="shared" si="2"/>
        <v>0.28384068073549773</v>
      </c>
      <c r="S8" s="10">
        <f t="shared" si="3"/>
        <v>0.41420788586931523</v>
      </c>
    </row>
    <row r="9" spans="1:19" s="2" customFormat="1" ht="12" x14ac:dyDescent="0.2">
      <c r="A9" s="11">
        <v>0</v>
      </c>
      <c r="B9" s="12" t="s">
        <v>26</v>
      </c>
      <c r="C9" s="13">
        <f>SUM(C10:C19)</f>
        <v>2156795</v>
      </c>
      <c r="D9" s="14">
        <f>SUM(D10:D19)</f>
        <v>0</v>
      </c>
      <c r="E9" s="15">
        <f>SUM(E10:E19)</f>
        <v>2156795</v>
      </c>
      <c r="F9" s="14">
        <f>SUM(F10:F19)</f>
        <v>0</v>
      </c>
      <c r="G9" s="14">
        <f t="shared" ref="G9:P9" si="5">SUM(G10:G19)</f>
        <v>2156795</v>
      </c>
      <c r="H9" s="14">
        <f t="shared" si="5"/>
        <v>682723</v>
      </c>
      <c r="I9" s="14">
        <f t="shared" si="5"/>
        <v>0</v>
      </c>
      <c r="J9" s="14">
        <f t="shared" si="5"/>
        <v>551443.27</v>
      </c>
      <c r="K9" s="14">
        <f t="shared" si="5"/>
        <v>623095.77000000014</v>
      </c>
      <c r="L9" s="14">
        <f t="shared" si="5"/>
        <v>59627.229999999996</v>
      </c>
      <c r="M9" s="14">
        <f t="shared" si="5"/>
        <v>1474072</v>
      </c>
      <c r="N9" s="14">
        <f t="shared" si="5"/>
        <v>1533699.2300000004</v>
      </c>
      <c r="O9" s="14">
        <f t="shared" si="5"/>
        <v>475607.97000000003</v>
      </c>
      <c r="P9" s="14">
        <f t="shared" si="5"/>
        <v>147487.80000000002</v>
      </c>
      <c r="Q9" s="4">
        <f t="shared" si="1"/>
        <v>0.9126626318433686</v>
      </c>
      <c r="R9" s="16">
        <f t="shared" si="2"/>
        <v>0.25567718304243103</v>
      </c>
      <c r="S9" s="16">
        <f t="shared" si="3"/>
        <v>0.28889893105278902</v>
      </c>
    </row>
    <row r="10" spans="1:19" x14ac:dyDescent="0.25">
      <c r="A10" s="17">
        <v>1</v>
      </c>
      <c r="B10" s="18" t="s">
        <v>27</v>
      </c>
      <c r="C10" s="19">
        <v>1760820</v>
      </c>
      <c r="D10" s="20">
        <v>0</v>
      </c>
      <c r="E10" s="21">
        <f>C10+D10</f>
        <v>1760820</v>
      </c>
      <c r="F10" s="22">
        <v>-16647</v>
      </c>
      <c r="G10" s="23">
        <f t="shared" ref="G10:G19" si="6">SUM(E10+F10)</f>
        <v>1744173</v>
      </c>
      <c r="H10" s="24">
        <f>130000+136000+121353+146735</f>
        <v>534088</v>
      </c>
      <c r="I10" s="25">
        <v>0</v>
      </c>
      <c r="J10" s="22">
        <f>116400+112700+110700+114117.5</f>
        <v>453917.5</v>
      </c>
      <c r="K10" s="22">
        <f>130000+133135+112700+146735</f>
        <v>522570</v>
      </c>
      <c r="L10" s="26">
        <f t="shared" ref="L10:L19" si="7">SUM(H10-K10)</f>
        <v>11518</v>
      </c>
      <c r="M10" s="26">
        <f t="shared" ref="M10:M19" si="8">SUM(G10-H10)</f>
        <v>1210085</v>
      </c>
      <c r="N10" s="26">
        <f t="shared" ref="N10:N19" si="9">SUM(-I10+L10+M10)</f>
        <v>1221603</v>
      </c>
      <c r="O10" s="27">
        <f>94702.38+113466.05+111579.11+93776.46</f>
        <v>413524</v>
      </c>
      <c r="P10" s="28">
        <f t="shared" ref="P10:P19" si="10">K10-O10</f>
        <v>109046</v>
      </c>
      <c r="Q10" s="29">
        <f t="shared" si="1"/>
        <v>0.97843426551429724</v>
      </c>
      <c r="R10" s="29">
        <f t="shared" si="2"/>
        <v>0.26024797998822363</v>
      </c>
      <c r="S10" s="29">
        <f t="shared" si="3"/>
        <v>0.29960904107562725</v>
      </c>
    </row>
    <row r="11" spans="1:19" x14ac:dyDescent="0.25">
      <c r="A11" s="17" t="s">
        <v>28</v>
      </c>
      <c r="B11" s="18" t="s">
        <v>29</v>
      </c>
      <c r="C11" s="19">
        <v>54000</v>
      </c>
      <c r="D11" s="20">
        <v>0</v>
      </c>
      <c r="E11" s="21">
        <f t="shared" ref="E11:E19" si="11">C11+D11</f>
        <v>54000</v>
      </c>
      <c r="F11" s="22">
        <v>0</v>
      </c>
      <c r="G11" s="23">
        <f t="shared" si="6"/>
        <v>54000</v>
      </c>
      <c r="H11" s="24">
        <f>4500+4500+4500+4500</f>
        <v>18000</v>
      </c>
      <c r="I11" s="25">
        <v>0</v>
      </c>
      <c r="J11" s="22">
        <f>3000+3000+3000+3000</f>
        <v>12000</v>
      </c>
      <c r="K11" s="22">
        <f>4500+3000+3000+4500</f>
        <v>15000</v>
      </c>
      <c r="L11" s="26">
        <f t="shared" si="7"/>
        <v>3000</v>
      </c>
      <c r="M11" s="26">
        <f t="shared" si="8"/>
        <v>36000</v>
      </c>
      <c r="N11" s="26">
        <f t="shared" si="9"/>
        <v>39000</v>
      </c>
      <c r="O11" s="27">
        <f>2361.66+3000+3000+2361.66</f>
        <v>10723.32</v>
      </c>
      <c r="P11" s="28">
        <f t="shared" si="10"/>
        <v>4276.68</v>
      </c>
      <c r="Q11" s="29">
        <f t="shared" si="1"/>
        <v>0.83333333333333337</v>
      </c>
      <c r="R11" s="29">
        <f t="shared" si="2"/>
        <v>0.22222222222222221</v>
      </c>
      <c r="S11" s="29">
        <f t="shared" si="3"/>
        <v>0.27777777777777779</v>
      </c>
    </row>
    <row r="12" spans="1:19" x14ac:dyDescent="0.25">
      <c r="A12" s="17" t="s">
        <v>30</v>
      </c>
      <c r="B12" s="18" t="s">
        <v>31</v>
      </c>
      <c r="C12" s="19">
        <v>49500</v>
      </c>
      <c r="D12" s="20">
        <v>0</v>
      </c>
      <c r="E12" s="21">
        <f t="shared" si="11"/>
        <v>49500</v>
      </c>
      <c r="F12" s="22">
        <v>0</v>
      </c>
      <c r="G12" s="23">
        <f t="shared" si="6"/>
        <v>49500</v>
      </c>
      <c r="H12" s="24">
        <f>16500</f>
        <v>16500</v>
      </c>
      <c r="I12" s="25">
        <v>0</v>
      </c>
      <c r="J12" s="22">
        <f>12472.56+212.37</f>
        <v>12684.93</v>
      </c>
      <c r="K12" s="22">
        <f>12472.56+212.37</f>
        <v>12684.93</v>
      </c>
      <c r="L12" s="26">
        <f t="shared" si="7"/>
        <v>3815.0699999999997</v>
      </c>
      <c r="M12" s="26">
        <f t="shared" si="8"/>
        <v>33000</v>
      </c>
      <c r="N12" s="26">
        <f t="shared" si="9"/>
        <v>36815.07</v>
      </c>
      <c r="O12" s="30">
        <f>11568.39+904.17</f>
        <v>12472.56</v>
      </c>
      <c r="P12" s="28">
        <f t="shared" si="10"/>
        <v>212.3700000000008</v>
      </c>
      <c r="Q12" s="29">
        <f t="shared" si="1"/>
        <v>0.76878363636363634</v>
      </c>
      <c r="R12" s="29">
        <f t="shared" si="2"/>
        <v>0.25626121212121211</v>
      </c>
      <c r="S12" s="29">
        <f t="shared" si="3"/>
        <v>0.25626121212121211</v>
      </c>
    </row>
    <row r="13" spans="1:19" x14ac:dyDescent="0.25">
      <c r="A13" s="17" t="s">
        <v>32</v>
      </c>
      <c r="B13" s="18" t="s">
        <v>33</v>
      </c>
      <c r="C13" s="19">
        <v>232047</v>
      </c>
      <c r="D13" s="20">
        <v>0</v>
      </c>
      <c r="E13" s="21">
        <f t="shared" si="11"/>
        <v>232047</v>
      </c>
      <c r="F13" s="22">
        <v>0</v>
      </c>
      <c r="G13" s="23">
        <f t="shared" si="6"/>
        <v>232047</v>
      </c>
      <c r="H13" s="24">
        <f>19337+19337+19337+19337</f>
        <v>77348</v>
      </c>
      <c r="I13" s="25">
        <v>0</v>
      </c>
      <c r="J13" s="22">
        <f>14357.02+15057.85+13395.38</f>
        <v>42810.25</v>
      </c>
      <c r="K13" s="22">
        <f>14357.02+15057.85+13395.38</f>
        <v>42810.25</v>
      </c>
      <c r="L13" s="26">
        <f t="shared" si="7"/>
        <v>34537.75</v>
      </c>
      <c r="M13" s="26">
        <f t="shared" si="8"/>
        <v>154699</v>
      </c>
      <c r="N13" s="26">
        <f t="shared" si="9"/>
        <v>189236.75</v>
      </c>
      <c r="O13" s="30">
        <f>14357.02+15035.02</f>
        <v>29392.04</v>
      </c>
      <c r="P13" s="28">
        <f t="shared" si="10"/>
        <v>13418.21</v>
      </c>
      <c r="Q13" s="29">
        <f t="shared" si="1"/>
        <v>0.55347584940787087</v>
      </c>
      <c r="R13" s="29">
        <f t="shared" si="2"/>
        <v>0.18448956461406527</v>
      </c>
      <c r="S13" s="29">
        <f t="shared" si="3"/>
        <v>0.18448956461406527</v>
      </c>
    </row>
    <row r="14" spans="1:19" x14ac:dyDescent="0.25">
      <c r="A14" s="17" t="s">
        <v>34</v>
      </c>
      <c r="B14" s="18" t="s">
        <v>35</v>
      </c>
      <c r="C14" s="19">
        <v>26952</v>
      </c>
      <c r="D14" s="20">
        <v>0</v>
      </c>
      <c r="E14" s="21">
        <f t="shared" si="11"/>
        <v>26952</v>
      </c>
      <c r="F14" s="22">
        <v>0</v>
      </c>
      <c r="G14" s="23">
        <f t="shared" si="6"/>
        <v>26952</v>
      </c>
      <c r="H14" s="24">
        <f>2246+2246+2246+2246</f>
        <v>8984</v>
      </c>
      <c r="I14" s="25">
        <v>0</v>
      </c>
      <c r="J14" s="22">
        <f>1713+1634.25+1595.25</f>
        <v>4942.5</v>
      </c>
      <c r="K14" s="22">
        <f>1713+1634.25+1595.25</f>
        <v>4942.5</v>
      </c>
      <c r="L14" s="26">
        <f t="shared" si="7"/>
        <v>4041.5</v>
      </c>
      <c r="M14" s="26">
        <f t="shared" si="8"/>
        <v>17968</v>
      </c>
      <c r="N14" s="26">
        <f t="shared" si="9"/>
        <v>22009.5</v>
      </c>
      <c r="O14" s="30">
        <f>1713+1634.25</f>
        <v>3347.25</v>
      </c>
      <c r="P14" s="28">
        <f t="shared" si="10"/>
        <v>1595.25</v>
      </c>
      <c r="Q14" s="29">
        <f t="shared" si="1"/>
        <v>0.55014470169189666</v>
      </c>
      <c r="R14" s="29">
        <f t="shared" si="2"/>
        <v>0.18338156723063223</v>
      </c>
      <c r="S14" s="29">
        <f t="shared" si="3"/>
        <v>0.18338156723063223</v>
      </c>
    </row>
    <row r="15" spans="1:19" x14ac:dyDescent="0.25">
      <c r="A15" s="17" t="s">
        <v>36</v>
      </c>
      <c r="B15" s="18" t="s">
        <v>37</v>
      </c>
      <c r="C15" s="19">
        <v>28086</v>
      </c>
      <c r="D15" s="20">
        <v>0</v>
      </c>
      <c r="E15" s="21">
        <f t="shared" si="11"/>
        <v>28086</v>
      </c>
      <c r="F15" s="22">
        <v>0</v>
      </c>
      <c r="G15" s="23">
        <f t="shared" si="6"/>
        <v>28086</v>
      </c>
      <c r="H15" s="24">
        <f>2340+2340+2340+2340</f>
        <v>9360</v>
      </c>
      <c r="I15" s="25">
        <v>0</v>
      </c>
      <c r="J15" s="22">
        <f>2461.2+2350.95+2296.35</f>
        <v>7108.5</v>
      </c>
      <c r="K15" s="22">
        <f>2461.2+2350.95+2296.35</f>
        <v>7108.5</v>
      </c>
      <c r="L15" s="26">
        <f t="shared" si="7"/>
        <v>2251.5</v>
      </c>
      <c r="M15" s="26">
        <f t="shared" si="8"/>
        <v>18726</v>
      </c>
      <c r="N15" s="26">
        <f t="shared" si="9"/>
        <v>20977.5</v>
      </c>
      <c r="O15" s="30">
        <f>2461.2+2350.95</f>
        <v>4812.1499999999996</v>
      </c>
      <c r="P15" s="28">
        <f t="shared" si="10"/>
        <v>2296.3500000000004</v>
      </c>
      <c r="Q15" s="29">
        <f t="shared" si="1"/>
        <v>0.75945512820512817</v>
      </c>
      <c r="R15" s="29">
        <f t="shared" si="2"/>
        <v>0.25309762871181374</v>
      </c>
      <c r="S15" s="29">
        <f t="shared" si="3"/>
        <v>0.25309762871181374</v>
      </c>
    </row>
    <row r="16" spans="1:19" x14ac:dyDescent="0.25">
      <c r="A16" s="17" t="s">
        <v>38</v>
      </c>
      <c r="B16" s="18" t="s">
        <v>39</v>
      </c>
      <c r="C16" s="19">
        <v>5390</v>
      </c>
      <c r="D16" s="20">
        <v>0</v>
      </c>
      <c r="E16" s="21">
        <f t="shared" si="11"/>
        <v>5390</v>
      </c>
      <c r="F16" s="22">
        <v>-327</v>
      </c>
      <c r="G16" s="23">
        <f t="shared" si="6"/>
        <v>5063</v>
      </c>
      <c r="H16" s="24">
        <f>449+347+224+449</f>
        <v>1469</v>
      </c>
      <c r="I16" s="25">
        <v>0</v>
      </c>
      <c r="J16" s="22">
        <f>345.45+335.1+329.85</f>
        <v>1010.4</v>
      </c>
      <c r="K16" s="22">
        <f>345.45+335.1+329.85</f>
        <v>1010.4</v>
      </c>
      <c r="L16" s="26">
        <f t="shared" si="7"/>
        <v>458.6</v>
      </c>
      <c r="M16" s="26">
        <f t="shared" si="8"/>
        <v>3594</v>
      </c>
      <c r="N16" s="26">
        <f t="shared" si="9"/>
        <v>4052.6</v>
      </c>
      <c r="O16" s="30">
        <f>345.45+335.1+329.85</f>
        <v>1010.4</v>
      </c>
      <c r="P16" s="28">
        <f t="shared" si="10"/>
        <v>0</v>
      </c>
      <c r="Q16" s="29">
        <f t="shared" si="1"/>
        <v>0.68781484002722937</v>
      </c>
      <c r="R16" s="29">
        <f t="shared" si="2"/>
        <v>0.19956547501481334</v>
      </c>
      <c r="S16" s="29">
        <f t="shared" si="3"/>
        <v>0.19956547501481334</v>
      </c>
    </row>
    <row r="17" spans="1:229" x14ac:dyDescent="0.25">
      <c r="A17" s="17" t="s">
        <v>40</v>
      </c>
      <c r="B17" s="18" t="s">
        <v>41</v>
      </c>
      <c r="C17" s="31">
        <v>0</v>
      </c>
      <c r="D17" s="20">
        <v>0</v>
      </c>
      <c r="E17" s="21">
        <f t="shared" si="11"/>
        <v>0</v>
      </c>
      <c r="F17" s="23">
        <f>14217</f>
        <v>14217</v>
      </c>
      <c r="G17" s="23">
        <f>SUM(E17+F17)</f>
        <v>14217</v>
      </c>
      <c r="H17" s="24">
        <v>14217</v>
      </c>
      <c r="I17" s="25">
        <v>0</v>
      </c>
      <c r="J17" s="25">
        <f>14216.66</f>
        <v>14216.66</v>
      </c>
      <c r="K17" s="22">
        <f>14216.66</f>
        <v>14216.66</v>
      </c>
      <c r="L17" s="26">
        <f t="shared" si="7"/>
        <v>0.34000000000014552</v>
      </c>
      <c r="M17" s="26">
        <f t="shared" si="8"/>
        <v>0</v>
      </c>
      <c r="N17" s="26">
        <f t="shared" si="9"/>
        <v>0.34000000000014552</v>
      </c>
      <c r="O17" s="30">
        <v>0</v>
      </c>
      <c r="P17" s="28">
        <f t="shared" si="10"/>
        <v>14216.66</v>
      </c>
      <c r="Q17" s="29">
        <f t="shared" si="1"/>
        <v>0.99997608496869939</v>
      </c>
      <c r="R17" s="29">
        <f t="shared" si="2"/>
        <v>0.99997608496869939</v>
      </c>
      <c r="S17" s="29">
        <f t="shared" si="3"/>
        <v>0.99997608496869939</v>
      </c>
    </row>
    <row r="18" spans="1:229" x14ac:dyDescent="0.25">
      <c r="A18" s="17" t="s">
        <v>42</v>
      </c>
      <c r="B18" s="18" t="s">
        <v>43</v>
      </c>
      <c r="C18" s="31">
        <v>0</v>
      </c>
      <c r="D18" s="20">
        <v>0</v>
      </c>
      <c r="E18" s="21">
        <f t="shared" si="11"/>
        <v>0</v>
      </c>
      <c r="F18" s="23">
        <f>121</f>
        <v>121</v>
      </c>
      <c r="G18" s="23">
        <f t="shared" si="6"/>
        <v>121</v>
      </c>
      <c r="H18" s="24">
        <v>121</v>
      </c>
      <c r="I18" s="25">
        <v>0</v>
      </c>
      <c r="J18" s="25">
        <f>120.69-3.05</f>
        <v>117.64</v>
      </c>
      <c r="K18" s="22">
        <f>120.69-3.05</f>
        <v>117.64</v>
      </c>
      <c r="L18" s="26">
        <f t="shared" si="7"/>
        <v>3.3599999999999994</v>
      </c>
      <c r="M18" s="26">
        <f t="shared" si="8"/>
        <v>0</v>
      </c>
      <c r="N18" s="26">
        <f t="shared" si="9"/>
        <v>3.3599999999999994</v>
      </c>
      <c r="O18" s="30">
        <v>0</v>
      </c>
      <c r="P18" s="28">
        <f t="shared" si="10"/>
        <v>117.64</v>
      </c>
      <c r="Q18" s="29">
        <f t="shared" si="1"/>
        <v>0.97223140495867766</v>
      </c>
      <c r="R18" s="29">
        <f t="shared" si="2"/>
        <v>0.97223140495867766</v>
      </c>
      <c r="S18" s="29">
        <f t="shared" si="3"/>
        <v>0.97223140495867766</v>
      </c>
    </row>
    <row r="19" spans="1:229" x14ac:dyDescent="0.25">
      <c r="A19" s="17" t="s">
        <v>44</v>
      </c>
      <c r="B19" s="32" t="s">
        <v>45</v>
      </c>
      <c r="C19" s="31">
        <v>0</v>
      </c>
      <c r="D19" s="20">
        <v>0</v>
      </c>
      <c r="E19" s="21">
        <f t="shared" si="11"/>
        <v>0</v>
      </c>
      <c r="F19" s="23">
        <f>327+2309</f>
        <v>2636</v>
      </c>
      <c r="G19" s="23">
        <f t="shared" si="6"/>
        <v>2636</v>
      </c>
      <c r="H19" s="24">
        <f>327+2309</f>
        <v>2636</v>
      </c>
      <c r="I19" s="25">
        <v>0</v>
      </c>
      <c r="J19" s="25">
        <f>326.25+2308.97-0.33</f>
        <v>2634.89</v>
      </c>
      <c r="K19" s="22">
        <f>326.25+2308.97-0.33</f>
        <v>2634.89</v>
      </c>
      <c r="L19" s="26">
        <f t="shared" si="7"/>
        <v>1.1100000000001273</v>
      </c>
      <c r="M19" s="26">
        <f t="shared" si="8"/>
        <v>0</v>
      </c>
      <c r="N19" s="26">
        <f t="shared" si="9"/>
        <v>1.1100000000001273</v>
      </c>
      <c r="O19" s="30">
        <f>326.25</f>
        <v>326.25</v>
      </c>
      <c r="P19" s="28">
        <f t="shared" si="10"/>
        <v>2308.64</v>
      </c>
      <c r="Q19" s="29">
        <f t="shared" si="1"/>
        <v>0.99957890743550826</v>
      </c>
      <c r="R19" s="29">
        <f t="shared" si="2"/>
        <v>0.99957890743550826</v>
      </c>
      <c r="S19" s="29">
        <f t="shared" si="3"/>
        <v>0.99957890743550826</v>
      </c>
    </row>
    <row r="20" spans="1:229" s="2" customFormat="1" ht="12" x14ac:dyDescent="0.2">
      <c r="A20" s="33">
        <v>1</v>
      </c>
      <c r="B20" s="34" t="s">
        <v>46</v>
      </c>
      <c r="C20" s="35">
        <f>SUM(C21:C54)</f>
        <v>392425</v>
      </c>
      <c r="D20" s="36">
        <f>SUM(D21:D54)</f>
        <v>0</v>
      </c>
      <c r="E20" s="35">
        <f>SUM(E21:E54)</f>
        <v>392425</v>
      </c>
      <c r="F20" s="36">
        <f>SUM(F21:F54)</f>
        <v>30296</v>
      </c>
      <c r="G20" s="36">
        <f t="shared" ref="G20:P20" si="12">SUM(G21:G54)</f>
        <v>422721</v>
      </c>
      <c r="H20" s="36">
        <f t="shared" si="12"/>
        <v>401687</v>
      </c>
      <c r="I20" s="36">
        <f t="shared" si="12"/>
        <v>146865.60000000001</v>
      </c>
      <c r="J20" s="36">
        <f t="shared" si="12"/>
        <v>129189.79</v>
      </c>
      <c r="K20" s="36">
        <f t="shared" si="12"/>
        <v>383952.22000000009</v>
      </c>
      <c r="L20" s="36">
        <f t="shared" si="12"/>
        <v>164600.37999999995</v>
      </c>
      <c r="M20" s="36">
        <f t="shared" si="12"/>
        <v>21034</v>
      </c>
      <c r="N20" s="36">
        <f t="shared" si="12"/>
        <v>38768.77999999997</v>
      </c>
      <c r="O20" s="36">
        <f t="shared" si="12"/>
        <v>41042.73000000001</v>
      </c>
      <c r="P20" s="36">
        <f t="shared" si="12"/>
        <v>342909.49000000005</v>
      </c>
      <c r="Q20" s="37">
        <f t="shared" si="1"/>
        <v>0.9558492557638163</v>
      </c>
      <c r="R20" s="4">
        <f t="shared" si="2"/>
        <v>0.30561479084313292</v>
      </c>
      <c r="S20" s="4">
        <f t="shared" si="3"/>
        <v>0.90828754663241262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</row>
    <row r="21" spans="1:229" x14ac:dyDescent="0.25">
      <c r="A21" s="17">
        <v>101</v>
      </c>
      <c r="B21" s="18" t="s">
        <v>47</v>
      </c>
      <c r="C21" s="19">
        <v>158000</v>
      </c>
      <c r="D21" s="20">
        <v>0</v>
      </c>
      <c r="E21" s="21">
        <f>C21+D21</f>
        <v>158000</v>
      </c>
      <c r="F21" s="22">
        <f>3308+13000</f>
        <v>16308</v>
      </c>
      <c r="G21" s="23">
        <f t="shared" ref="G21:G36" si="13">SUM(E21+F21)</f>
        <v>174308</v>
      </c>
      <c r="H21" s="24">
        <f>100000+61308+13000</f>
        <v>174308</v>
      </c>
      <c r="I21" s="19">
        <f>99489.6+47376</f>
        <v>146865.60000000001</v>
      </c>
      <c r="J21" s="22">
        <v>0</v>
      </c>
      <c r="K21" s="22">
        <f>99489.6+47376+14442+12119.16</f>
        <v>173426.76</v>
      </c>
      <c r="L21" s="26">
        <f>SUM(H21-K21+I21)</f>
        <v>147746.84</v>
      </c>
      <c r="M21" s="26">
        <f t="shared" ref="M21:M54" si="14">SUM(G21-H21)</f>
        <v>0</v>
      </c>
      <c r="N21" s="26">
        <f t="shared" ref="N21:N54" si="15">SUM(-I21+L21+M21)</f>
        <v>881.23999999999069</v>
      </c>
      <c r="O21" s="30">
        <v>0</v>
      </c>
      <c r="P21" s="28">
        <f t="shared" ref="P21:P36" si="16">K21-O21</f>
        <v>173426.76</v>
      </c>
      <c r="Q21" s="29">
        <f t="shared" si="1"/>
        <v>0.99494435137802062</v>
      </c>
      <c r="R21" s="29">
        <f t="shared" si="2"/>
        <v>0</v>
      </c>
      <c r="S21" s="29">
        <f t="shared" si="3"/>
        <v>0.99494435137802062</v>
      </c>
    </row>
    <row r="22" spans="1:229" x14ac:dyDescent="0.25">
      <c r="A22" s="17">
        <v>102</v>
      </c>
      <c r="B22" s="18" t="s">
        <v>48</v>
      </c>
      <c r="C22" s="19">
        <v>12000</v>
      </c>
      <c r="D22" s="20">
        <v>0</v>
      </c>
      <c r="E22" s="21">
        <f t="shared" ref="E22:E54" si="17">C22+D22</f>
        <v>12000</v>
      </c>
      <c r="F22" s="22">
        <f>-11165+1000</f>
        <v>-10165</v>
      </c>
      <c r="G22" s="23">
        <f t="shared" si="13"/>
        <v>1835</v>
      </c>
      <c r="H22" s="39">
        <f>2000-1165+1000</f>
        <v>1835</v>
      </c>
      <c r="I22" s="25">
        <v>0</v>
      </c>
      <c r="J22" s="22">
        <f>834.6+406.6</f>
        <v>1241.2</v>
      </c>
      <c r="K22" s="22">
        <f>834.6+406.6</f>
        <v>1241.2</v>
      </c>
      <c r="L22" s="26">
        <f>SUM(H22-K22+I22)</f>
        <v>593.79999999999995</v>
      </c>
      <c r="M22" s="26">
        <f t="shared" si="14"/>
        <v>0</v>
      </c>
      <c r="N22" s="26">
        <f t="shared" si="15"/>
        <v>593.79999999999995</v>
      </c>
      <c r="O22" s="30">
        <v>0</v>
      </c>
      <c r="P22" s="28">
        <f t="shared" si="16"/>
        <v>1241.2</v>
      </c>
      <c r="Q22" s="29">
        <f t="shared" si="1"/>
        <v>0.67640326975476839</v>
      </c>
      <c r="R22" s="29">
        <f t="shared" si="2"/>
        <v>0.67640326975476839</v>
      </c>
      <c r="S22" s="29">
        <f t="shared" si="3"/>
        <v>0.67640326975476839</v>
      </c>
    </row>
    <row r="23" spans="1:229" x14ac:dyDescent="0.25">
      <c r="A23" s="17" t="s">
        <v>49</v>
      </c>
      <c r="B23" s="18" t="s">
        <v>50</v>
      </c>
      <c r="C23" s="31">
        <v>0</v>
      </c>
      <c r="D23" s="20">
        <v>0</v>
      </c>
      <c r="E23" s="21">
        <f t="shared" si="17"/>
        <v>0</v>
      </c>
      <c r="F23" s="23">
        <f>11895-1109</f>
        <v>10786</v>
      </c>
      <c r="G23" s="23">
        <f t="shared" si="13"/>
        <v>10786</v>
      </c>
      <c r="H23" s="39">
        <f>11895-1109</f>
        <v>10786</v>
      </c>
      <c r="I23" s="25">
        <v>0</v>
      </c>
      <c r="J23" s="22">
        <f>963+9822.6</f>
        <v>10785.6</v>
      </c>
      <c r="K23" s="22">
        <f>963+9822.6</f>
        <v>10785.6</v>
      </c>
      <c r="L23" s="26">
        <f>SUM(H23+I23-K23)</f>
        <v>0.3999999999996362</v>
      </c>
      <c r="M23" s="26">
        <f t="shared" si="14"/>
        <v>0</v>
      </c>
      <c r="N23" s="26">
        <f t="shared" si="15"/>
        <v>0.3999999999996362</v>
      </c>
      <c r="O23" s="30">
        <f>963</f>
        <v>963</v>
      </c>
      <c r="P23" s="28">
        <f t="shared" si="16"/>
        <v>9822.6</v>
      </c>
      <c r="Q23" s="29">
        <f t="shared" si="1"/>
        <v>0.99996291488967182</v>
      </c>
      <c r="R23" s="29">
        <f t="shared" si="2"/>
        <v>0.99996291488967182</v>
      </c>
      <c r="S23" s="29">
        <f t="shared" si="3"/>
        <v>0.99996291488967182</v>
      </c>
    </row>
    <row r="24" spans="1:229" x14ac:dyDescent="0.25">
      <c r="A24" s="17">
        <v>109</v>
      </c>
      <c r="B24" s="18" t="s">
        <v>51</v>
      </c>
      <c r="C24" s="31">
        <v>0</v>
      </c>
      <c r="D24" s="20">
        <v>0</v>
      </c>
      <c r="E24" s="21">
        <f t="shared" si="17"/>
        <v>0</v>
      </c>
      <c r="F24" s="23">
        <f>14284-13000</f>
        <v>1284</v>
      </c>
      <c r="G24" s="23">
        <f t="shared" si="13"/>
        <v>1284</v>
      </c>
      <c r="H24" s="39">
        <f>14284-13000</f>
        <v>1284</v>
      </c>
      <c r="I24" s="25">
        <v>0</v>
      </c>
      <c r="J24" s="22">
        <f>1284</f>
        <v>1284</v>
      </c>
      <c r="K24" s="22">
        <f>14284-13000</f>
        <v>1284</v>
      </c>
      <c r="L24" s="26">
        <f t="shared" ref="L24:L54" si="18">SUM(H24-K24)</f>
        <v>0</v>
      </c>
      <c r="M24" s="26">
        <f t="shared" si="14"/>
        <v>0</v>
      </c>
      <c r="N24" s="26">
        <f t="shared" si="15"/>
        <v>0</v>
      </c>
      <c r="O24" s="30">
        <v>0</v>
      </c>
      <c r="P24" s="28">
        <f t="shared" si="16"/>
        <v>1284</v>
      </c>
      <c r="Q24" s="29">
        <f t="shared" si="1"/>
        <v>1</v>
      </c>
      <c r="R24" s="29">
        <f t="shared" si="2"/>
        <v>1</v>
      </c>
      <c r="S24" s="29">
        <f t="shared" si="3"/>
        <v>1</v>
      </c>
    </row>
    <row r="25" spans="1:229" x14ac:dyDescent="0.25">
      <c r="A25" s="17">
        <v>111</v>
      </c>
      <c r="B25" s="18" t="s">
        <v>52</v>
      </c>
      <c r="C25" s="19">
        <v>495</v>
      </c>
      <c r="D25" s="20">
        <v>0</v>
      </c>
      <c r="E25" s="21">
        <f t="shared" si="17"/>
        <v>495</v>
      </c>
      <c r="F25" s="22">
        <v>0</v>
      </c>
      <c r="G25" s="23">
        <f t="shared" si="13"/>
        <v>495</v>
      </c>
      <c r="H25" s="24">
        <f>50+50+50+50</f>
        <v>200</v>
      </c>
      <c r="I25" s="25">
        <v>0</v>
      </c>
      <c r="J25" s="22">
        <f>27.3+11.9+11.9</f>
        <v>51.1</v>
      </c>
      <c r="K25" s="22">
        <f>27.3+11.9+11.9</f>
        <v>51.1</v>
      </c>
      <c r="L25" s="26">
        <f t="shared" si="18"/>
        <v>148.9</v>
      </c>
      <c r="M25" s="26">
        <f t="shared" si="14"/>
        <v>295</v>
      </c>
      <c r="N25" s="26">
        <f t="shared" si="15"/>
        <v>443.9</v>
      </c>
      <c r="O25" s="30">
        <f>27.33+11.87</f>
        <v>39.199999999999996</v>
      </c>
      <c r="P25" s="28">
        <f t="shared" si="16"/>
        <v>11.900000000000006</v>
      </c>
      <c r="Q25" s="29">
        <f t="shared" si="1"/>
        <v>0.2555</v>
      </c>
      <c r="R25" s="29">
        <f t="shared" si="2"/>
        <v>0.10323232323232323</v>
      </c>
      <c r="S25" s="29">
        <f t="shared" si="3"/>
        <v>0.10323232323232323</v>
      </c>
    </row>
    <row r="26" spans="1:229" x14ac:dyDescent="0.25">
      <c r="A26" s="17" t="s">
        <v>53</v>
      </c>
      <c r="B26" s="18" t="s">
        <v>54</v>
      </c>
      <c r="C26" s="19">
        <v>500</v>
      </c>
      <c r="D26" s="20">
        <v>0</v>
      </c>
      <c r="E26" s="21">
        <f t="shared" si="17"/>
        <v>500</v>
      </c>
      <c r="F26" s="22">
        <v>0</v>
      </c>
      <c r="G26" s="23">
        <f t="shared" si="13"/>
        <v>500</v>
      </c>
      <c r="H26" s="24">
        <f>20+50+50+50</f>
        <v>170</v>
      </c>
      <c r="I26" s="25">
        <v>0</v>
      </c>
      <c r="J26" s="22">
        <v>0</v>
      </c>
      <c r="K26" s="22">
        <v>0</v>
      </c>
      <c r="L26" s="26">
        <f t="shared" si="18"/>
        <v>170</v>
      </c>
      <c r="M26" s="26">
        <f t="shared" si="14"/>
        <v>330</v>
      </c>
      <c r="N26" s="26">
        <f t="shared" si="15"/>
        <v>500</v>
      </c>
      <c r="O26" s="30">
        <v>0</v>
      </c>
      <c r="P26" s="28">
        <f t="shared" si="16"/>
        <v>0</v>
      </c>
      <c r="Q26" s="29">
        <f t="shared" si="1"/>
        <v>0</v>
      </c>
      <c r="R26" s="29">
        <f t="shared" si="2"/>
        <v>0</v>
      </c>
      <c r="S26" s="29">
        <f t="shared" si="3"/>
        <v>0</v>
      </c>
    </row>
    <row r="27" spans="1:229" x14ac:dyDescent="0.25">
      <c r="A27" s="17" t="s">
        <v>55</v>
      </c>
      <c r="B27" s="18" t="s">
        <v>56</v>
      </c>
      <c r="C27" s="19">
        <v>500</v>
      </c>
      <c r="D27" s="20">
        <v>0</v>
      </c>
      <c r="E27" s="21">
        <f t="shared" si="17"/>
        <v>500</v>
      </c>
      <c r="F27" s="22">
        <v>0</v>
      </c>
      <c r="G27" s="23">
        <f t="shared" si="13"/>
        <v>500</v>
      </c>
      <c r="H27" s="24">
        <f>50+50+40+40</f>
        <v>180</v>
      </c>
      <c r="I27" s="25">
        <v>0</v>
      </c>
      <c r="J27" s="22">
        <v>0</v>
      </c>
      <c r="K27" s="22">
        <v>0</v>
      </c>
      <c r="L27" s="26">
        <f t="shared" si="18"/>
        <v>180</v>
      </c>
      <c r="M27" s="26">
        <f t="shared" si="14"/>
        <v>320</v>
      </c>
      <c r="N27" s="26">
        <f t="shared" si="15"/>
        <v>500</v>
      </c>
      <c r="O27" s="30">
        <v>0</v>
      </c>
      <c r="P27" s="28">
        <f t="shared" si="16"/>
        <v>0</v>
      </c>
      <c r="Q27" s="29">
        <f t="shared" si="1"/>
        <v>0</v>
      </c>
      <c r="R27" s="29">
        <f t="shared" si="2"/>
        <v>0</v>
      </c>
      <c r="S27" s="29">
        <f t="shared" si="3"/>
        <v>0</v>
      </c>
    </row>
    <row r="28" spans="1:229" x14ac:dyDescent="0.25">
      <c r="A28" s="17" t="s">
        <v>57</v>
      </c>
      <c r="B28" s="18" t="s">
        <v>58</v>
      </c>
      <c r="C28" s="19">
        <v>16339</v>
      </c>
      <c r="D28" s="20">
        <v>0</v>
      </c>
      <c r="E28" s="21">
        <f t="shared" si="17"/>
        <v>16339</v>
      </c>
      <c r="F28" s="22">
        <v>0</v>
      </c>
      <c r="G28" s="23">
        <f t="shared" si="13"/>
        <v>16339</v>
      </c>
      <c r="H28" s="24">
        <f>1361+1361+1361+1361</f>
        <v>5444</v>
      </c>
      <c r="I28" s="25">
        <v>0</v>
      </c>
      <c r="J28" s="22">
        <f>1731.77+1538.36+1420.6</f>
        <v>4690.7299999999996</v>
      </c>
      <c r="K28" s="22">
        <f>1731.77+1538.36+1420.6</f>
        <v>4690.7299999999996</v>
      </c>
      <c r="L28" s="26">
        <f t="shared" si="18"/>
        <v>753.27000000000044</v>
      </c>
      <c r="M28" s="26">
        <f t="shared" si="14"/>
        <v>10895</v>
      </c>
      <c r="N28" s="26">
        <f t="shared" si="15"/>
        <v>11648.27</v>
      </c>
      <c r="O28" s="30">
        <f>3270.13+1420.6</f>
        <v>4690.7299999999996</v>
      </c>
      <c r="P28" s="28">
        <f t="shared" si="16"/>
        <v>0</v>
      </c>
      <c r="Q28" s="29">
        <f t="shared" si="1"/>
        <v>0.86163299044819974</v>
      </c>
      <c r="R28" s="29">
        <f t="shared" si="2"/>
        <v>0.28708794907889096</v>
      </c>
      <c r="S28" s="29">
        <f t="shared" si="3"/>
        <v>0.28708794907889096</v>
      </c>
    </row>
    <row r="29" spans="1:229" x14ac:dyDescent="0.25">
      <c r="A29" s="17" t="s">
        <v>59</v>
      </c>
      <c r="B29" s="18" t="s">
        <v>60</v>
      </c>
      <c r="C29" s="19">
        <v>18388</v>
      </c>
      <c r="D29" s="20">
        <v>0</v>
      </c>
      <c r="E29" s="21">
        <f t="shared" si="17"/>
        <v>18388</v>
      </c>
      <c r="F29" s="22">
        <f>250</f>
        <v>250</v>
      </c>
      <c r="G29" s="23">
        <f t="shared" si="13"/>
        <v>18638</v>
      </c>
      <c r="H29" s="24">
        <f>4000+1000+1250+3194</f>
        <v>9444</v>
      </c>
      <c r="I29" s="25">
        <v>0</v>
      </c>
      <c r="J29" s="22">
        <f>2620.63+3627.16+26.28</f>
        <v>6274.07</v>
      </c>
      <c r="K29" s="22">
        <f>2620.63+3627.16+26.28</f>
        <v>6274.07</v>
      </c>
      <c r="L29" s="26">
        <f t="shared" si="18"/>
        <v>3169.9300000000003</v>
      </c>
      <c r="M29" s="26">
        <f t="shared" si="14"/>
        <v>9194</v>
      </c>
      <c r="N29" s="26">
        <f t="shared" si="15"/>
        <v>12363.93</v>
      </c>
      <c r="O29" s="30">
        <f>6247.79+26.28</f>
        <v>6274.07</v>
      </c>
      <c r="P29" s="28">
        <f t="shared" si="16"/>
        <v>0</v>
      </c>
      <c r="Q29" s="29">
        <f t="shared" si="1"/>
        <v>0.66434455739093601</v>
      </c>
      <c r="R29" s="29">
        <f t="shared" si="2"/>
        <v>0.33662785706620879</v>
      </c>
      <c r="S29" s="29">
        <f t="shared" si="3"/>
        <v>0.33662785706620879</v>
      </c>
    </row>
    <row r="30" spans="1:229" x14ac:dyDescent="0.25">
      <c r="A30" s="17" t="s">
        <v>61</v>
      </c>
      <c r="B30" s="18" t="s">
        <v>62</v>
      </c>
      <c r="C30" s="19">
        <v>1003</v>
      </c>
      <c r="D30" s="20">
        <v>0</v>
      </c>
      <c r="E30" s="21">
        <f t="shared" si="17"/>
        <v>1003</v>
      </c>
      <c r="F30" s="22">
        <v>167</v>
      </c>
      <c r="G30" s="23">
        <f t="shared" si="13"/>
        <v>1170</v>
      </c>
      <c r="H30" s="24">
        <f>1170</f>
        <v>1170</v>
      </c>
      <c r="I30" s="25">
        <v>0</v>
      </c>
      <c r="J30" s="22">
        <f>1162.43</f>
        <v>1162.43</v>
      </c>
      <c r="K30" s="22">
        <f>1162.43</f>
        <v>1162.43</v>
      </c>
      <c r="L30" s="26">
        <f t="shared" si="18"/>
        <v>7.5699999999999363</v>
      </c>
      <c r="M30" s="26">
        <f t="shared" si="14"/>
        <v>0</v>
      </c>
      <c r="N30" s="26">
        <f t="shared" si="15"/>
        <v>7.5699999999999363</v>
      </c>
      <c r="O30" s="30">
        <v>0</v>
      </c>
      <c r="P30" s="28">
        <f t="shared" si="16"/>
        <v>1162.43</v>
      </c>
      <c r="Q30" s="29">
        <f t="shared" si="1"/>
        <v>0.99352991452991457</v>
      </c>
      <c r="R30" s="29">
        <f t="shared" si="2"/>
        <v>0.99352991452991457</v>
      </c>
      <c r="S30" s="29">
        <f t="shared" si="3"/>
        <v>0.99352991452991457</v>
      </c>
    </row>
    <row r="31" spans="1:229" x14ac:dyDescent="0.25">
      <c r="A31" s="17">
        <v>117</v>
      </c>
      <c r="B31" s="18" t="s">
        <v>63</v>
      </c>
      <c r="C31" s="19">
        <v>1926</v>
      </c>
      <c r="D31" s="20">
        <v>0</v>
      </c>
      <c r="E31" s="21">
        <f t="shared" si="17"/>
        <v>1926</v>
      </c>
      <c r="F31" s="22">
        <v>-167</v>
      </c>
      <c r="G31" s="23">
        <f t="shared" si="13"/>
        <v>1759</v>
      </c>
      <c r="H31" s="24">
        <f>1926-167</f>
        <v>1759</v>
      </c>
      <c r="I31" s="25">
        <v>0</v>
      </c>
      <c r="J31" s="22">
        <v>1733.4</v>
      </c>
      <c r="K31" s="22">
        <v>1733.4</v>
      </c>
      <c r="L31" s="26">
        <f t="shared" si="18"/>
        <v>25.599999999999909</v>
      </c>
      <c r="M31" s="26">
        <f t="shared" si="14"/>
        <v>0</v>
      </c>
      <c r="N31" s="26">
        <f t="shared" si="15"/>
        <v>25.599999999999909</v>
      </c>
      <c r="O31" s="30">
        <v>0</v>
      </c>
      <c r="P31" s="28">
        <f t="shared" si="16"/>
        <v>1733.4</v>
      </c>
      <c r="Q31" s="29">
        <f t="shared" si="1"/>
        <v>0.98544627629334858</v>
      </c>
      <c r="R31" s="29">
        <f t="shared" si="2"/>
        <v>0.98544627629334858</v>
      </c>
      <c r="S31" s="29">
        <f t="shared" si="3"/>
        <v>0.98544627629334858</v>
      </c>
    </row>
    <row r="32" spans="1:229" x14ac:dyDescent="0.25">
      <c r="A32" s="17" t="s">
        <v>64</v>
      </c>
      <c r="B32" s="32" t="s">
        <v>65</v>
      </c>
      <c r="C32" s="19">
        <v>1425</v>
      </c>
      <c r="D32" s="20">
        <v>0</v>
      </c>
      <c r="E32" s="21">
        <f t="shared" si="17"/>
        <v>1425</v>
      </c>
      <c r="F32" s="22">
        <f>-200-700-200</f>
        <v>-1100</v>
      </c>
      <c r="G32" s="23">
        <f t="shared" si="13"/>
        <v>325</v>
      </c>
      <c r="H32" s="24">
        <f>1225-700-200</f>
        <v>325</v>
      </c>
      <c r="I32" s="25">
        <v>0</v>
      </c>
      <c r="J32" s="22">
        <f>64.2</f>
        <v>64.2</v>
      </c>
      <c r="K32" s="22">
        <f>64.2</f>
        <v>64.2</v>
      </c>
      <c r="L32" s="26">
        <f t="shared" si="18"/>
        <v>260.8</v>
      </c>
      <c r="M32" s="26">
        <f t="shared" si="14"/>
        <v>0</v>
      </c>
      <c r="N32" s="26">
        <f t="shared" si="15"/>
        <v>260.8</v>
      </c>
      <c r="O32" s="30">
        <v>0</v>
      </c>
      <c r="P32" s="28">
        <f t="shared" si="16"/>
        <v>64.2</v>
      </c>
      <c r="Q32" s="29">
        <f t="shared" si="1"/>
        <v>0.19753846153846155</v>
      </c>
      <c r="R32" s="29">
        <f t="shared" si="2"/>
        <v>0.19753846153846155</v>
      </c>
      <c r="S32" s="29">
        <f t="shared" si="3"/>
        <v>0.19753846153846155</v>
      </c>
    </row>
    <row r="33" spans="1:229" x14ac:dyDescent="0.25">
      <c r="A33" s="17">
        <v>131</v>
      </c>
      <c r="B33" s="32" t="s">
        <v>66</v>
      </c>
      <c r="C33" s="31">
        <v>0</v>
      </c>
      <c r="D33" s="20">
        <v>0</v>
      </c>
      <c r="E33" s="21">
        <f t="shared" si="17"/>
        <v>0</v>
      </c>
      <c r="F33" s="23"/>
      <c r="G33" s="23">
        <f t="shared" si="13"/>
        <v>0</v>
      </c>
      <c r="H33" s="39">
        <v>0</v>
      </c>
      <c r="I33" s="25">
        <v>0</v>
      </c>
      <c r="J33" s="22">
        <v>0</v>
      </c>
      <c r="K33" s="22">
        <v>0</v>
      </c>
      <c r="L33" s="26">
        <f t="shared" si="18"/>
        <v>0</v>
      </c>
      <c r="M33" s="26">
        <f t="shared" si="14"/>
        <v>0</v>
      </c>
      <c r="N33" s="26">
        <f t="shared" si="15"/>
        <v>0</v>
      </c>
      <c r="O33" s="30">
        <v>0</v>
      </c>
      <c r="P33" s="28">
        <f t="shared" si="16"/>
        <v>0</v>
      </c>
      <c r="Q33" s="29">
        <v>0</v>
      </c>
      <c r="R33" s="29">
        <v>0</v>
      </c>
      <c r="S33" s="29">
        <v>0</v>
      </c>
    </row>
    <row r="34" spans="1:229" x14ac:dyDescent="0.25">
      <c r="A34" s="17" t="s">
        <v>67</v>
      </c>
      <c r="B34" s="18" t="s">
        <v>68</v>
      </c>
      <c r="C34" s="19">
        <v>5000</v>
      </c>
      <c r="D34" s="20">
        <v>0</v>
      </c>
      <c r="E34" s="21">
        <f t="shared" si="17"/>
        <v>5000</v>
      </c>
      <c r="F34" s="22">
        <f>37500-12-9095</f>
        <v>28393</v>
      </c>
      <c r="G34" s="23">
        <f t="shared" si="13"/>
        <v>33393</v>
      </c>
      <c r="H34" s="24">
        <f>42500-12-9095</f>
        <v>33393</v>
      </c>
      <c r="I34" s="25">
        <v>0</v>
      </c>
      <c r="J34" s="22">
        <f>12754.93</f>
        <v>12754.93</v>
      </c>
      <c r="K34" s="22">
        <f>42488-9095</f>
        <v>33393</v>
      </c>
      <c r="L34" s="26">
        <f t="shared" si="18"/>
        <v>0</v>
      </c>
      <c r="M34" s="26">
        <f t="shared" si="14"/>
        <v>0</v>
      </c>
      <c r="N34" s="26">
        <f t="shared" si="15"/>
        <v>0</v>
      </c>
      <c r="O34" s="30">
        <v>0</v>
      </c>
      <c r="P34" s="28">
        <f t="shared" si="16"/>
        <v>33393</v>
      </c>
      <c r="Q34" s="29">
        <f>SUM(K34/H34*1)</f>
        <v>1</v>
      </c>
      <c r="R34" s="29">
        <f>SUM(J34/G34*1)</f>
        <v>0.38196418411044231</v>
      </c>
      <c r="S34" s="29">
        <f>SUM(K34/G34*1)</f>
        <v>1</v>
      </c>
    </row>
    <row r="35" spans="1:229" x14ac:dyDescent="0.25">
      <c r="A35" s="17">
        <v>141</v>
      </c>
      <c r="B35" s="18" t="s">
        <v>69</v>
      </c>
      <c r="C35" s="19">
        <v>1623</v>
      </c>
      <c r="D35" s="20">
        <v>0</v>
      </c>
      <c r="E35" s="21">
        <f t="shared" si="17"/>
        <v>1623</v>
      </c>
      <c r="F35" s="22">
        <f>2350+2000</f>
        <v>4350</v>
      </c>
      <c r="G35" s="23">
        <f t="shared" si="13"/>
        <v>5973</v>
      </c>
      <c r="H35" s="24">
        <f>1623+2350+2000</f>
        <v>5973</v>
      </c>
      <c r="I35" s="25">
        <v>0</v>
      </c>
      <c r="J35" s="22">
        <f>718+346+3130</f>
        <v>4194</v>
      </c>
      <c r="K35" s="22">
        <f>718+346+3281</f>
        <v>4345</v>
      </c>
      <c r="L35" s="26">
        <f t="shared" si="18"/>
        <v>1628</v>
      </c>
      <c r="M35" s="26">
        <f t="shared" si="14"/>
        <v>0</v>
      </c>
      <c r="N35" s="26">
        <f t="shared" si="15"/>
        <v>1628</v>
      </c>
      <c r="O35" s="30">
        <f>62+992+2564</f>
        <v>3618</v>
      </c>
      <c r="P35" s="28">
        <f t="shared" si="16"/>
        <v>727</v>
      </c>
      <c r="Q35" s="29">
        <f>SUM(K35/H35*1)</f>
        <v>0.72744014732965012</v>
      </c>
      <c r="R35" s="29">
        <f>SUM(J35/G35*1)</f>
        <v>0.70215971873430438</v>
      </c>
      <c r="S35" s="29">
        <f>SUM(K35/G35*1)</f>
        <v>0.72744014732965012</v>
      </c>
    </row>
    <row r="36" spans="1:229" s="40" customFormat="1" ht="15.75" x14ac:dyDescent="0.25">
      <c r="A36" s="17" t="s">
        <v>70</v>
      </c>
      <c r="B36" s="18" t="s">
        <v>71</v>
      </c>
      <c r="C36" s="19">
        <v>1000</v>
      </c>
      <c r="D36" s="20">
        <v>0</v>
      </c>
      <c r="E36" s="21">
        <f t="shared" si="17"/>
        <v>1000</v>
      </c>
      <c r="F36" s="22">
        <f>2000+3200</f>
        <v>5200</v>
      </c>
      <c r="G36" s="23">
        <f t="shared" si="13"/>
        <v>6200</v>
      </c>
      <c r="H36" s="39">
        <f>2500+3700</f>
        <v>6200</v>
      </c>
      <c r="I36" s="25">
        <v>0</v>
      </c>
      <c r="J36" s="22">
        <f>2100+3600</f>
        <v>5700</v>
      </c>
      <c r="K36" s="22">
        <f>21000-18900+3600</f>
        <v>5700</v>
      </c>
      <c r="L36" s="26">
        <f t="shared" si="18"/>
        <v>500</v>
      </c>
      <c r="M36" s="26">
        <f t="shared" si="14"/>
        <v>0</v>
      </c>
      <c r="N36" s="26">
        <f t="shared" si="15"/>
        <v>500</v>
      </c>
      <c r="O36" s="30">
        <f>2100+3600</f>
        <v>5700</v>
      </c>
      <c r="P36" s="28">
        <f t="shared" si="16"/>
        <v>0</v>
      </c>
      <c r="Q36" s="29">
        <f>SUM(K36/H36*1)</f>
        <v>0.91935483870967738</v>
      </c>
      <c r="R36" s="29">
        <f>SUM(J36/G36*1)</f>
        <v>0.91935483870967738</v>
      </c>
      <c r="S36" s="29">
        <f>SUM(K36/G36*1)</f>
        <v>0.91935483870967738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40" customFormat="1" ht="15.75" x14ac:dyDescent="0.25">
      <c r="A37" s="17">
        <v>143</v>
      </c>
      <c r="B37" s="18" t="s">
        <v>72</v>
      </c>
      <c r="C37" s="19"/>
      <c r="D37" s="20"/>
      <c r="E37" s="21">
        <f t="shared" si="17"/>
        <v>0</v>
      </c>
      <c r="F37" s="22"/>
      <c r="G37" s="23"/>
      <c r="H37" s="39"/>
      <c r="I37" s="25"/>
      <c r="J37" s="22">
        <f>0</f>
        <v>0</v>
      </c>
      <c r="K37" s="22">
        <f>0</f>
        <v>0</v>
      </c>
      <c r="L37" s="26">
        <f t="shared" si="18"/>
        <v>0</v>
      </c>
      <c r="M37" s="26">
        <f t="shared" si="14"/>
        <v>0</v>
      </c>
      <c r="N37" s="26">
        <f t="shared" si="15"/>
        <v>0</v>
      </c>
      <c r="O37" s="30">
        <v>0</v>
      </c>
      <c r="P37" s="28">
        <v>0</v>
      </c>
      <c r="Q37" s="29">
        <v>0</v>
      </c>
      <c r="R37" s="29">
        <v>0</v>
      </c>
      <c r="S37" s="29"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40" customFormat="1" ht="15.75" x14ac:dyDescent="0.25">
      <c r="A38" s="17" t="s">
        <v>73</v>
      </c>
      <c r="B38" s="18" t="s">
        <v>74</v>
      </c>
      <c r="C38" s="19">
        <v>3000</v>
      </c>
      <c r="D38" s="20">
        <v>0</v>
      </c>
      <c r="E38" s="21">
        <f t="shared" si="17"/>
        <v>3000</v>
      </c>
      <c r="F38" s="22">
        <f>-1700+500</f>
        <v>-1200</v>
      </c>
      <c r="G38" s="23">
        <f t="shared" ref="G38:G54" si="19">SUM(E38+F38)</f>
        <v>1800</v>
      </c>
      <c r="H38" s="24">
        <f>3000-1700+500</f>
        <v>1800</v>
      </c>
      <c r="I38" s="25">
        <v>0</v>
      </c>
      <c r="J38" s="22">
        <f>50+400+600</f>
        <v>1050</v>
      </c>
      <c r="K38" s="22">
        <f>50+400+890</f>
        <v>1340</v>
      </c>
      <c r="L38" s="26">
        <f t="shared" si="18"/>
        <v>460</v>
      </c>
      <c r="M38" s="26">
        <f t="shared" si="14"/>
        <v>0</v>
      </c>
      <c r="N38" s="26">
        <f t="shared" si="15"/>
        <v>460</v>
      </c>
      <c r="O38" s="30">
        <f>130+580</f>
        <v>710</v>
      </c>
      <c r="P38" s="28">
        <f t="shared" ref="P38:P54" si="20">K38-O38</f>
        <v>630</v>
      </c>
      <c r="Q38" s="29">
        <f>SUM(K38/H38*1)</f>
        <v>0.74444444444444446</v>
      </c>
      <c r="R38" s="29">
        <f>SUM(J38/G38*1)</f>
        <v>0.58333333333333337</v>
      </c>
      <c r="S38" s="29">
        <f>SUM(K38/G38*1)</f>
        <v>0.74444444444444446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40" customFormat="1" ht="15.75" x14ac:dyDescent="0.25">
      <c r="A39" s="17">
        <v>152</v>
      </c>
      <c r="B39" s="18" t="s">
        <v>75</v>
      </c>
      <c r="C39" s="19">
        <v>1050</v>
      </c>
      <c r="D39" s="20">
        <v>0</v>
      </c>
      <c r="E39" s="21">
        <f t="shared" si="17"/>
        <v>1050</v>
      </c>
      <c r="F39" s="22">
        <f>2500+2178</f>
        <v>4678</v>
      </c>
      <c r="G39" s="23">
        <f t="shared" si="19"/>
        <v>5728</v>
      </c>
      <c r="H39" s="39">
        <f>3000+2728</f>
        <v>5728</v>
      </c>
      <c r="I39" s="25">
        <v>0</v>
      </c>
      <c r="J39" s="22">
        <f>1523.88+3644.5</f>
        <v>5168.38</v>
      </c>
      <c r="K39" s="22">
        <f>1523.88+3644.5</f>
        <v>5168.38</v>
      </c>
      <c r="L39" s="26">
        <f t="shared" si="18"/>
        <v>559.61999999999989</v>
      </c>
      <c r="M39" s="26">
        <f t="shared" si="14"/>
        <v>0</v>
      </c>
      <c r="N39" s="26">
        <f t="shared" si="15"/>
        <v>559.61999999999989</v>
      </c>
      <c r="O39" s="30">
        <f>1523.88</f>
        <v>1523.88</v>
      </c>
      <c r="P39" s="28">
        <f t="shared" si="20"/>
        <v>3644.5</v>
      </c>
      <c r="Q39" s="29">
        <f>SUM(K39/H39*1)</f>
        <v>0.90230097765363126</v>
      </c>
      <c r="R39" s="29">
        <f>SUM(J39/G39*1)</f>
        <v>0.90230097765363126</v>
      </c>
      <c r="S39" s="29">
        <f>SUM(K39/G39*1)</f>
        <v>0.90230097765363126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</row>
    <row r="40" spans="1:229" s="40" customFormat="1" ht="15.75" x14ac:dyDescent="0.25">
      <c r="A40" s="17">
        <v>153</v>
      </c>
      <c r="B40" s="18" t="s">
        <v>76</v>
      </c>
      <c r="C40" s="31">
        <v>0</v>
      </c>
      <c r="D40" s="20">
        <v>0</v>
      </c>
      <c r="E40" s="21">
        <f t="shared" si="17"/>
        <v>0</v>
      </c>
      <c r="F40" s="23"/>
      <c r="G40" s="23">
        <f t="shared" si="19"/>
        <v>0</v>
      </c>
      <c r="H40" s="39">
        <v>0</v>
      </c>
      <c r="I40" s="25">
        <v>0</v>
      </c>
      <c r="J40" s="22">
        <v>0</v>
      </c>
      <c r="K40" s="22">
        <f>0</f>
        <v>0</v>
      </c>
      <c r="L40" s="26">
        <f t="shared" si="18"/>
        <v>0</v>
      </c>
      <c r="M40" s="26">
        <f t="shared" si="14"/>
        <v>0</v>
      </c>
      <c r="N40" s="26">
        <f t="shared" si="15"/>
        <v>0</v>
      </c>
      <c r="O40" s="30">
        <v>0</v>
      </c>
      <c r="P40" s="28">
        <f t="shared" si="20"/>
        <v>0</v>
      </c>
      <c r="Q40" s="29">
        <v>0</v>
      </c>
      <c r="R40" s="29">
        <v>0</v>
      </c>
      <c r="S40" s="29"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</row>
    <row r="41" spans="1:229" s="40" customFormat="1" ht="15.75" x14ac:dyDescent="0.25">
      <c r="A41" s="17">
        <v>154</v>
      </c>
      <c r="B41" s="18" t="s">
        <v>77</v>
      </c>
      <c r="C41" s="31">
        <v>0</v>
      </c>
      <c r="D41" s="20">
        <v>0</v>
      </c>
      <c r="E41" s="21">
        <f t="shared" si="17"/>
        <v>0</v>
      </c>
      <c r="F41" s="23">
        <f>200-50</f>
        <v>150</v>
      </c>
      <c r="G41" s="23">
        <f t="shared" si="19"/>
        <v>150</v>
      </c>
      <c r="H41" s="39">
        <f>200-50</f>
        <v>150</v>
      </c>
      <c r="I41" s="25">
        <v>0</v>
      </c>
      <c r="J41" s="22">
        <f>17.5+21</f>
        <v>38.5</v>
      </c>
      <c r="K41" s="22">
        <f>7+10.5+21</f>
        <v>38.5</v>
      </c>
      <c r="L41" s="26">
        <f t="shared" si="18"/>
        <v>111.5</v>
      </c>
      <c r="M41" s="26">
        <f t="shared" si="14"/>
        <v>0</v>
      </c>
      <c r="N41" s="26">
        <f t="shared" si="15"/>
        <v>111.5</v>
      </c>
      <c r="O41" s="30">
        <f>11+6.5</f>
        <v>17.5</v>
      </c>
      <c r="P41" s="28">
        <f t="shared" si="20"/>
        <v>21</v>
      </c>
      <c r="Q41" s="29">
        <f t="shared" ref="Q41:Q48" si="21">SUM(K41/H41*1)</f>
        <v>0.25666666666666665</v>
      </c>
      <c r="R41" s="29">
        <f t="shared" ref="R41:R49" si="22">SUM(J41/G41*1)</f>
        <v>0.25666666666666665</v>
      </c>
      <c r="S41" s="29">
        <f t="shared" ref="S41:S49" si="23">SUM(K41/G41*1)</f>
        <v>0.25666666666666665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</row>
    <row r="42" spans="1:229" s="40" customFormat="1" ht="15.75" x14ac:dyDescent="0.25">
      <c r="A42" s="17" t="s">
        <v>78</v>
      </c>
      <c r="B42" s="18" t="s">
        <v>79</v>
      </c>
      <c r="C42" s="19">
        <v>9000</v>
      </c>
      <c r="D42" s="20">
        <v>0</v>
      </c>
      <c r="E42" s="21">
        <f t="shared" si="17"/>
        <v>9000</v>
      </c>
      <c r="F42" s="22">
        <v>0</v>
      </c>
      <c r="G42" s="23">
        <f t="shared" si="19"/>
        <v>9000</v>
      </c>
      <c r="H42" s="39">
        <f>5000+4000</f>
        <v>9000</v>
      </c>
      <c r="I42" s="25">
        <v>0</v>
      </c>
      <c r="J42" s="22">
        <v>0</v>
      </c>
      <c r="K42" s="22">
        <f>4500+1323.7</f>
        <v>5823.7</v>
      </c>
      <c r="L42" s="26">
        <f t="shared" si="18"/>
        <v>3176.3</v>
      </c>
      <c r="M42" s="26">
        <f t="shared" si="14"/>
        <v>0</v>
      </c>
      <c r="N42" s="26">
        <f t="shared" si="15"/>
        <v>3176.3</v>
      </c>
      <c r="O42" s="30">
        <v>0</v>
      </c>
      <c r="P42" s="28">
        <f t="shared" si="20"/>
        <v>5823.7</v>
      </c>
      <c r="Q42" s="29">
        <f t="shared" si="21"/>
        <v>0.64707777777777775</v>
      </c>
      <c r="R42" s="29">
        <f t="shared" si="22"/>
        <v>0</v>
      </c>
      <c r="S42" s="29">
        <f t="shared" si="23"/>
        <v>0.64707777777777775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</row>
    <row r="43" spans="1:229" s="40" customFormat="1" ht="15.75" x14ac:dyDescent="0.25">
      <c r="A43" s="17">
        <v>165</v>
      </c>
      <c r="B43" s="18" t="s">
        <v>80</v>
      </c>
      <c r="C43" s="19">
        <v>12600</v>
      </c>
      <c r="D43" s="20">
        <v>0</v>
      </c>
      <c r="E43" s="21">
        <f t="shared" si="17"/>
        <v>12600</v>
      </c>
      <c r="F43" s="22">
        <f>9600-19200+13700</f>
        <v>4100</v>
      </c>
      <c r="G43" s="23">
        <f t="shared" si="19"/>
        <v>16700</v>
      </c>
      <c r="H43" s="39">
        <f>5000-2000+13700</f>
        <v>16700</v>
      </c>
      <c r="I43" s="25">
        <v>0</v>
      </c>
      <c r="J43" s="22">
        <f>6124.2</f>
        <v>6124.2</v>
      </c>
      <c r="K43" s="22">
        <f>13854.7</f>
        <v>13854.7</v>
      </c>
      <c r="L43" s="26">
        <f t="shared" si="18"/>
        <v>2845.2999999999993</v>
      </c>
      <c r="M43" s="26">
        <f t="shared" si="14"/>
        <v>0</v>
      </c>
      <c r="N43" s="26">
        <f t="shared" si="15"/>
        <v>2845.2999999999993</v>
      </c>
      <c r="O43" s="30">
        <v>0</v>
      </c>
      <c r="P43" s="28">
        <f t="shared" si="20"/>
        <v>13854.7</v>
      </c>
      <c r="Q43" s="29">
        <f t="shared" si="21"/>
        <v>0.82962275449101797</v>
      </c>
      <c r="R43" s="29">
        <f t="shared" si="22"/>
        <v>0.36671856287425147</v>
      </c>
      <c r="S43" s="29">
        <f t="shared" si="23"/>
        <v>0.82962275449101797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</row>
    <row r="44" spans="1:229" s="40" customFormat="1" ht="15.75" x14ac:dyDescent="0.25">
      <c r="A44" s="17" t="s">
        <v>81</v>
      </c>
      <c r="B44" s="18" t="s">
        <v>82</v>
      </c>
      <c r="C44" s="19">
        <v>6400</v>
      </c>
      <c r="D44" s="20">
        <v>0</v>
      </c>
      <c r="E44" s="21">
        <f t="shared" si="17"/>
        <v>6400</v>
      </c>
      <c r="F44" s="22">
        <f>16796+20987+5515</f>
        <v>43298</v>
      </c>
      <c r="G44" s="23">
        <f t="shared" si="19"/>
        <v>49698</v>
      </c>
      <c r="H44" s="39">
        <f>21796+22387+5515</f>
        <v>49698</v>
      </c>
      <c r="I44" s="25">
        <v>0</v>
      </c>
      <c r="J44" s="22">
        <f>7175.1+16538.66+3067.7</f>
        <v>26781.460000000003</v>
      </c>
      <c r="K44" s="22">
        <f>7175.1+27338.66+14997.7</f>
        <v>49511.460000000006</v>
      </c>
      <c r="L44" s="26">
        <f t="shared" si="18"/>
        <v>186.5399999999936</v>
      </c>
      <c r="M44" s="26">
        <f t="shared" si="14"/>
        <v>0</v>
      </c>
      <c r="N44" s="26">
        <f t="shared" si="15"/>
        <v>186.5399999999936</v>
      </c>
      <c r="O44" s="30">
        <f>2500.85+4929.26</f>
        <v>7430.1100000000006</v>
      </c>
      <c r="P44" s="28">
        <f t="shared" si="20"/>
        <v>42081.350000000006</v>
      </c>
      <c r="Q44" s="29">
        <f t="shared" si="21"/>
        <v>0.99624652903537381</v>
      </c>
      <c r="R44" s="29">
        <f t="shared" si="22"/>
        <v>0.53888405972071318</v>
      </c>
      <c r="S44" s="29">
        <f t="shared" si="23"/>
        <v>0.99624652903537381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</row>
    <row r="45" spans="1:229" s="40" customFormat="1" ht="15.75" x14ac:dyDescent="0.25">
      <c r="A45" s="17">
        <v>171</v>
      </c>
      <c r="B45" s="18" t="s">
        <v>83</v>
      </c>
      <c r="C45" s="19">
        <v>100000</v>
      </c>
      <c r="D45" s="20">
        <v>0</v>
      </c>
      <c r="E45" s="21">
        <f t="shared" si="17"/>
        <v>100000</v>
      </c>
      <c r="F45" s="22">
        <f>-9528-43156-33313</f>
        <v>-85997</v>
      </c>
      <c r="G45" s="23">
        <f t="shared" si="19"/>
        <v>14003</v>
      </c>
      <c r="H45" s="39">
        <f>10472+36844-33313</f>
        <v>14003</v>
      </c>
      <c r="I45" s="25">
        <v>0</v>
      </c>
      <c r="J45" s="22">
        <v>0</v>
      </c>
      <c r="K45" s="22">
        <f>14000</f>
        <v>14000</v>
      </c>
      <c r="L45" s="26">
        <f t="shared" si="18"/>
        <v>3</v>
      </c>
      <c r="M45" s="26">
        <f t="shared" si="14"/>
        <v>0</v>
      </c>
      <c r="N45" s="26">
        <f t="shared" si="15"/>
        <v>3</v>
      </c>
      <c r="O45" s="30">
        <v>0</v>
      </c>
      <c r="P45" s="28">
        <f t="shared" si="20"/>
        <v>14000</v>
      </c>
      <c r="Q45" s="29">
        <f t="shared" si="21"/>
        <v>0.99978576019424414</v>
      </c>
      <c r="R45" s="29">
        <f t="shared" si="22"/>
        <v>0</v>
      </c>
      <c r="S45" s="29">
        <f t="shared" si="23"/>
        <v>0.99978576019424414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</row>
    <row r="46" spans="1:229" s="40" customFormat="1" ht="15.75" x14ac:dyDescent="0.25">
      <c r="A46" s="17" t="s">
        <v>84</v>
      </c>
      <c r="B46" s="18" t="s">
        <v>85</v>
      </c>
      <c r="C46" s="19">
        <v>36000</v>
      </c>
      <c r="D46" s="20">
        <v>0</v>
      </c>
      <c r="E46" s="21">
        <f t="shared" si="17"/>
        <v>36000</v>
      </c>
      <c r="F46" s="22">
        <v>0</v>
      </c>
      <c r="G46" s="23">
        <f t="shared" si="19"/>
        <v>36000</v>
      </c>
      <c r="H46" s="24">
        <v>36000</v>
      </c>
      <c r="I46" s="25">
        <v>0</v>
      </c>
      <c r="J46" s="22">
        <f>36000</f>
        <v>36000</v>
      </c>
      <c r="K46" s="22">
        <v>36000</v>
      </c>
      <c r="L46" s="26">
        <f t="shared" si="18"/>
        <v>0</v>
      </c>
      <c r="M46" s="26">
        <f t="shared" si="14"/>
        <v>0</v>
      </c>
      <c r="N46" s="26">
        <f t="shared" si="15"/>
        <v>0</v>
      </c>
      <c r="O46" s="30">
        <f>9000</f>
        <v>9000</v>
      </c>
      <c r="P46" s="28">
        <f t="shared" si="20"/>
        <v>27000</v>
      </c>
      <c r="Q46" s="29">
        <f t="shared" si="21"/>
        <v>1</v>
      </c>
      <c r="R46" s="29">
        <f t="shared" si="22"/>
        <v>1</v>
      </c>
      <c r="S46" s="29">
        <f t="shared" si="23"/>
        <v>1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</row>
    <row r="47" spans="1:229" s="40" customFormat="1" ht="15.75" x14ac:dyDescent="0.25">
      <c r="A47" s="17" t="s">
        <v>86</v>
      </c>
      <c r="B47" s="18" t="s">
        <v>87</v>
      </c>
      <c r="C47" s="19">
        <v>2500</v>
      </c>
      <c r="D47" s="20">
        <v>0</v>
      </c>
      <c r="E47" s="21">
        <f t="shared" si="17"/>
        <v>2500</v>
      </c>
      <c r="F47" s="22">
        <f>-1700-100-100</f>
        <v>-1900</v>
      </c>
      <c r="G47" s="23">
        <f t="shared" si="19"/>
        <v>600</v>
      </c>
      <c r="H47" s="39">
        <f>300-100+400</f>
        <v>600</v>
      </c>
      <c r="I47" s="25">
        <v>0</v>
      </c>
      <c r="J47" s="22">
        <v>0</v>
      </c>
      <c r="K47" s="22">
        <v>0</v>
      </c>
      <c r="L47" s="26">
        <f t="shared" si="18"/>
        <v>600</v>
      </c>
      <c r="M47" s="26">
        <f t="shared" si="14"/>
        <v>0</v>
      </c>
      <c r="N47" s="26">
        <f t="shared" si="15"/>
        <v>600</v>
      </c>
      <c r="O47" s="30">
        <v>0</v>
      </c>
      <c r="P47" s="28">
        <f t="shared" si="20"/>
        <v>0</v>
      </c>
      <c r="Q47" s="29">
        <f t="shared" si="21"/>
        <v>0</v>
      </c>
      <c r="R47" s="29">
        <f t="shared" si="22"/>
        <v>0</v>
      </c>
      <c r="S47" s="29">
        <f t="shared" si="23"/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</row>
    <row r="48" spans="1:229" s="40" customFormat="1" ht="15.75" x14ac:dyDescent="0.25">
      <c r="A48" s="17" t="s">
        <v>88</v>
      </c>
      <c r="B48" s="18" t="s">
        <v>89</v>
      </c>
      <c r="C48" s="19">
        <v>2500</v>
      </c>
      <c r="D48" s="20">
        <v>0</v>
      </c>
      <c r="E48" s="21">
        <f t="shared" si="17"/>
        <v>2500</v>
      </c>
      <c r="F48" s="22">
        <f>-1450+100-150</f>
        <v>-1500</v>
      </c>
      <c r="G48" s="23">
        <f t="shared" si="19"/>
        <v>1000</v>
      </c>
      <c r="H48" s="39">
        <f>550+100+350</f>
        <v>1000</v>
      </c>
      <c r="I48" s="25">
        <v>0</v>
      </c>
      <c r="J48" s="22">
        <f>12.45+113+85.59</f>
        <v>211.04000000000002</v>
      </c>
      <c r="K48" s="22">
        <f>125.45+213.99</f>
        <v>339.44</v>
      </c>
      <c r="L48" s="26">
        <f t="shared" si="18"/>
        <v>660.56</v>
      </c>
      <c r="M48" s="26">
        <f t="shared" si="14"/>
        <v>0</v>
      </c>
      <c r="N48" s="26">
        <f t="shared" si="15"/>
        <v>660.56</v>
      </c>
      <c r="O48" s="30">
        <f>50.55</f>
        <v>50.55</v>
      </c>
      <c r="P48" s="28">
        <f t="shared" si="20"/>
        <v>288.89</v>
      </c>
      <c r="Q48" s="29">
        <f t="shared" si="21"/>
        <v>0.33944000000000002</v>
      </c>
      <c r="R48" s="29">
        <f t="shared" si="22"/>
        <v>0.21104000000000003</v>
      </c>
      <c r="S48" s="29">
        <f t="shared" si="23"/>
        <v>0.33944000000000002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</row>
    <row r="49" spans="1:229" s="40" customFormat="1" ht="15.75" x14ac:dyDescent="0.25">
      <c r="A49" s="17">
        <v>185</v>
      </c>
      <c r="B49" s="18" t="s">
        <v>90</v>
      </c>
      <c r="C49" s="19">
        <v>1176</v>
      </c>
      <c r="D49" s="20">
        <v>0</v>
      </c>
      <c r="E49" s="21">
        <f t="shared" si="17"/>
        <v>1176</v>
      </c>
      <c r="F49" s="22">
        <f>-500+10280</f>
        <v>9780</v>
      </c>
      <c r="G49" s="23">
        <f t="shared" si="19"/>
        <v>10956</v>
      </c>
      <c r="H49" s="39">
        <f>10956</f>
        <v>10956</v>
      </c>
      <c r="I49" s="25">
        <v>0</v>
      </c>
      <c r="J49" s="22">
        <f>330.44</f>
        <v>330.44</v>
      </c>
      <c r="K49" s="22">
        <f>10174.44</f>
        <v>10174.44</v>
      </c>
      <c r="L49" s="26">
        <f t="shared" si="18"/>
        <v>781.55999999999949</v>
      </c>
      <c r="M49" s="26">
        <f t="shared" si="14"/>
        <v>0</v>
      </c>
      <c r="N49" s="26">
        <f t="shared" si="15"/>
        <v>781.55999999999949</v>
      </c>
      <c r="O49" s="30">
        <v>0</v>
      </c>
      <c r="P49" s="28">
        <f t="shared" si="20"/>
        <v>10174.44</v>
      </c>
      <c r="Q49" s="29">
        <v>0</v>
      </c>
      <c r="R49" s="29">
        <f t="shared" si="22"/>
        <v>3.0160642570281126E-2</v>
      </c>
      <c r="S49" s="29">
        <f t="shared" si="23"/>
        <v>0.92866374589266165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</row>
    <row r="50" spans="1:229" x14ac:dyDescent="0.25">
      <c r="A50" s="17">
        <v>192</v>
      </c>
      <c r="B50" s="18" t="s">
        <v>91</v>
      </c>
      <c r="C50" s="31">
        <v>0</v>
      </c>
      <c r="D50" s="20">
        <v>0</v>
      </c>
      <c r="E50" s="21">
        <f t="shared" si="17"/>
        <v>0</v>
      </c>
      <c r="F50" s="23"/>
      <c r="G50" s="23">
        <f t="shared" si="19"/>
        <v>0</v>
      </c>
      <c r="H50" s="39">
        <v>0</v>
      </c>
      <c r="I50" s="25">
        <v>0</v>
      </c>
      <c r="J50" s="22">
        <v>0</v>
      </c>
      <c r="K50" s="22">
        <v>0</v>
      </c>
      <c r="L50" s="26">
        <f t="shared" si="18"/>
        <v>0</v>
      </c>
      <c r="M50" s="26">
        <f t="shared" si="14"/>
        <v>0</v>
      </c>
      <c r="N50" s="26">
        <f t="shared" si="15"/>
        <v>0</v>
      </c>
      <c r="O50" s="30">
        <v>0</v>
      </c>
      <c r="P50" s="28">
        <f t="shared" si="20"/>
        <v>0</v>
      </c>
      <c r="Q50" s="29">
        <v>0</v>
      </c>
      <c r="R50" s="29">
        <v>0</v>
      </c>
      <c r="S50" s="29">
        <v>0</v>
      </c>
    </row>
    <row r="51" spans="1:229" x14ac:dyDescent="0.25">
      <c r="A51" s="17">
        <v>195</v>
      </c>
      <c r="B51" s="18" t="s">
        <v>92</v>
      </c>
      <c r="C51" s="31">
        <v>0</v>
      </c>
      <c r="D51" s="20">
        <v>0</v>
      </c>
      <c r="E51" s="21">
        <f t="shared" si="17"/>
        <v>0</v>
      </c>
      <c r="F51" s="23">
        <v>589</v>
      </c>
      <c r="G51" s="23">
        <f t="shared" si="19"/>
        <v>589</v>
      </c>
      <c r="H51" s="39">
        <f>589</f>
        <v>589</v>
      </c>
      <c r="I51" s="25">
        <v>0</v>
      </c>
      <c r="J51" s="22">
        <f>589</f>
        <v>589</v>
      </c>
      <c r="K51" s="22">
        <f>589</f>
        <v>589</v>
      </c>
      <c r="L51" s="26">
        <f t="shared" si="18"/>
        <v>0</v>
      </c>
      <c r="M51" s="26">
        <f t="shared" si="14"/>
        <v>0</v>
      </c>
      <c r="N51" s="26">
        <f t="shared" si="15"/>
        <v>0</v>
      </c>
      <c r="O51" s="30">
        <f>589</f>
        <v>589</v>
      </c>
      <c r="P51" s="28">
        <f t="shared" si="20"/>
        <v>0</v>
      </c>
      <c r="Q51" s="29">
        <f>SUM(K51/H51*1)</f>
        <v>1</v>
      </c>
      <c r="R51" s="29">
        <f>SUM(J51/G51*1)</f>
        <v>1</v>
      </c>
      <c r="S51" s="29">
        <f>SUM(K51/G51*1)</f>
        <v>1</v>
      </c>
    </row>
    <row r="52" spans="1:229" x14ac:dyDescent="0.25">
      <c r="A52" s="17">
        <v>196</v>
      </c>
      <c r="B52" s="18" t="s">
        <v>93</v>
      </c>
      <c r="C52" s="31">
        <v>0</v>
      </c>
      <c r="D52" s="20">
        <v>0</v>
      </c>
      <c r="E52" s="21">
        <f t="shared" si="17"/>
        <v>0</v>
      </c>
      <c r="F52" s="23">
        <f>700-300</f>
        <v>400</v>
      </c>
      <c r="G52" s="23">
        <f t="shared" si="19"/>
        <v>400</v>
      </c>
      <c r="H52" s="39">
        <f>700-300</f>
        <v>400</v>
      </c>
      <c r="I52" s="25">
        <v>0</v>
      </c>
      <c r="J52" s="22">
        <f>399.5</f>
        <v>399.5</v>
      </c>
      <c r="K52" s="22">
        <f>399.5</f>
        <v>399.5</v>
      </c>
      <c r="L52" s="26">
        <f t="shared" si="18"/>
        <v>0.5</v>
      </c>
      <c r="M52" s="26">
        <f t="shared" si="14"/>
        <v>0</v>
      </c>
      <c r="N52" s="26">
        <f t="shared" si="15"/>
        <v>0.5</v>
      </c>
      <c r="O52" s="30">
        <f>399.5</f>
        <v>399.5</v>
      </c>
      <c r="P52" s="28">
        <f t="shared" si="20"/>
        <v>0</v>
      </c>
      <c r="Q52" s="29">
        <f>SUM(K52/H52*1)</f>
        <v>0.99875000000000003</v>
      </c>
      <c r="R52" s="29">
        <f>SUM(J52/G52*1)</f>
        <v>0.99875000000000003</v>
      </c>
      <c r="S52" s="29">
        <f>SUM(K52/G52*1)</f>
        <v>0.99875000000000003</v>
      </c>
    </row>
    <row r="53" spans="1:229" x14ac:dyDescent="0.25">
      <c r="A53" s="17">
        <v>197</v>
      </c>
      <c r="B53" s="18" t="s">
        <v>94</v>
      </c>
      <c r="C53" s="31">
        <v>0</v>
      </c>
      <c r="D53" s="20">
        <v>0</v>
      </c>
      <c r="E53" s="21">
        <f t="shared" si="17"/>
        <v>0</v>
      </c>
      <c r="F53" s="23">
        <f>2692-100</f>
        <v>2592</v>
      </c>
      <c r="G53" s="23">
        <f t="shared" si="19"/>
        <v>2592</v>
      </c>
      <c r="H53" s="39">
        <f>2692-100</f>
        <v>2592</v>
      </c>
      <c r="I53" s="25">
        <v>0</v>
      </c>
      <c r="J53" s="22">
        <f>2561.61</f>
        <v>2561.61</v>
      </c>
      <c r="K53" s="22">
        <f>2561.61</f>
        <v>2561.61</v>
      </c>
      <c r="L53" s="26">
        <f t="shared" si="18"/>
        <v>30.389999999999873</v>
      </c>
      <c r="M53" s="26">
        <f t="shared" si="14"/>
        <v>0</v>
      </c>
      <c r="N53" s="26">
        <f t="shared" si="15"/>
        <v>30.389999999999873</v>
      </c>
      <c r="O53" s="30">
        <f>37.19</f>
        <v>37.19</v>
      </c>
      <c r="P53" s="28">
        <f t="shared" si="20"/>
        <v>2524.42</v>
      </c>
      <c r="Q53" s="29">
        <f>SUM(K53/H53*1)</f>
        <v>0.98827546296296298</v>
      </c>
      <c r="R53" s="29">
        <f>SUM(J53/G53*1)</f>
        <v>0.98827546296296298</v>
      </c>
      <c r="S53" s="29">
        <f>SUM(K53/G53*1)</f>
        <v>0.98827546296296298</v>
      </c>
    </row>
    <row r="54" spans="1:229" x14ac:dyDescent="0.25">
      <c r="A54" s="17">
        <v>199</v>
      </c>
      <c r="B54" s="18" t="s">
        <v>95</v>
      </c>
      <c r="C54" s="31">
        <v>0</v>
      </c>
      <c r="D54" s="20">
        <v>0</v>
      </c>
      <c r="E54" s="21">
        <f t="shared" si="17"/>
        <v>0</v>
      </c>
      <c r="F54" s="23">
        <f>0</f>
        <v>0</v>
      </c>
      <c r="G54" s="23">
        <f t="shared" si="19"/>
        <v>0</v>
      </c>
      <c r="H54" s="39">
        <v>0</v>
      </c>
      <c r="I54" s="25">
        <v>0</v>
      </c>
      <c r="J54" s="22">
        <v>0</v>
      </c>
      <c r="K54" s="22">
        <v>0</v>
      </c>
      <c r="L54" s="26">
        <f t="shared" si="18"/>
        <v>0</v>
      </c>
      <c r="M54" s="26">
        <f t="shared" si="14"/>
        <v>0</v>
      </c>
      <c r="N54" s="26">
        <f t="shared" si="15"/>
        <v>0</v>
      </c>
      <c r="O54" s="30">
        <v>0</v>
      </c>
      <c r="P54" s="28">
        <f t="shared" si="20"/>
        <v>0</v>
      </c>
      <c r="Q54" s="29">
        <v>0</v>
      </c>
      <c r="R54" s="29">
        <v>0</v>
      </c>
      <c r="S54" s="29">
        <v>0</v>
      </c>
    </row>
    <row r="55" spans="1:229" s="2" customFormat="1" ht="12" x14ac:dyDescent="0.2">
      <c r="A55" s="33">
        <v>2</v>
      </c>
      <c r="B55" s="34" t="s">
        <v>96</v>
      </c>
      <c r="C55" s="35">
        <f>SUM(C56:C89)</f>
        <v>19912</v>
      </c>
      <c r="D55" s="36">
        <f>SUM(D57:D89)</f>
        <v>0</v>
      </c>
      <c r="E55" s="35">
        <f>SUM(E56:E89)</f>
        <v>19912</v>
      </c>
      <c r="F55" s="36">
        <f>SUM(F56:F89)</f>
        <v>28157</v>
      </c>
      <c r="G55" s="36">
        <f t="shared" ref="G55:P55" si="24">SUM(G56:G89)</f>
        <v>48069</v>
      </c>
      <c r="H55" s="36">
        <f t="shared" si="24"/>
        <v>48069</v>
      </c>
      <c r="I55" s="36">
        <f t="shared" si="24"/>
        <v>0</v>
      </c>
      <c r="J55" s="36">
        <f t="shared" si="24"/>
        <v>23578.160000000003</v>
      </c>
      <c r="K55" s="36">
        <f t="shared" si="24"/>
        <v>38609.129999999997</v>
      </c>
      <c r="L55" s="36">
        <f t="shared" si="24"/>
        <v>9459.59</v>
      </c>
      <c r="M55" s="36">
        <f t="shared" si="24"/>
        <v>0</v>
      </c>
      <c r="N55" s="36">
        <f t="shared" si="24"/>
        <v>9459.59</v>
      </c>
      <c r="O55" s="36">
        <f t="shared" si="24"/>
        <v>8306.26</v>
      </c>
      <c r="P55" s="36">
        <f t="shared" si="24"/>
        <v>30302.87</v>
      </c>
      <c r="Q55" s="4">
        <f>SUM(K55/H55*1)</f>
        <v>0.80320227173438175</v>
      </c>
      <c r="R55" s="4">
        <f>SUM(J55/G55*1)</f>
        <v>0.49050656348166183</v>
      </c>
      <c r="S55" s="4">
        <f>SUM(K55/G55*1)</f>
        <v>0.80320227173438175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</row>
    <row r="56" spans="1:229" s="2" customFormat="1" x14ac:dyDescent="0.25">
      <c r="A56" s="17">
        <v>201</v>
      </c>
      <c r="B56" s="18" t="s">
        <v>97</v>
      </c>
      <c r="C56" s="19">
        <v>500</v>
      </c>
      <c r="D56" s="20">
        <v>0</v>
      </c>
      <c r="E56" s="21">
        <f>C56+D56</f>
        <v>500</v>
      </c>
      <c r="F56" s="22">
        <f>7000-500-450</f>
        <v>6050</v>
      </c>
      <c r="G56" s="23">
        <f t="shared" ref="G56:G105" si="25">SUM(E56+F56)</f>
        <v>6550</v>
      </c>
      <c r="H56" s="39">
        <f>7500-500-450</f>
        <v>6550</v>
      </c>
      <c r="I56" s="25">
        <v>0</v>
      </c>
      <c r="J56" s="22">
        <f>805.68+3424.6+506</f>
        <v>4736.28</v>
      </c>
      <c r="K56" s="22">
        <f>980.68+3249.6+506</f>
        <v>4736.28</v>
      </c>
      <c r="L56" s="26">
        <f t="shared" ref="L56:L87" si="26">SUM(H56-K56)</f>
        <v>1813.7200000000003</v>
      </c>
      <c r="M56" s="26">
        <f t="shared" ref="M56:M85" si="27">SUM(G56-H56)</f>
        <v>0</v>
      </c>
      <c r="N56" s="26">
        <f t="shared" ref="N56:N87" si="28">SUM(-I56+L56+M56)</f>
        <v>1813.7200000000003</v>
      </c>
      <c r="O56" s="30">
        <f>705.68+192</f>
        <v>897.68</v>
      </c>
      <c r="P56" s="28">
        <f t="shared" ref="P56:P89" si="29">K56-O56</f>
        <v>3838.6</v>
      </c>
      <c r="Q56" s="29">
        <f>SUM(K56/H56*1)</f>
        <v>0.7230961832061068</v>
      </c>
      <c r="R56" s="29">
        <f>SUM(J56/G56*1)</f>
        <v>0.7230961832061068</v>
      </c>
      <c r="S56" s="29">
        <f>SUM(K56/G56*1)</f>
        <v>0.7230961832061068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</row>
    <row r="57" spans="1:229" x14ac:dyDescent="0.25">
      <c r="A57" s="17" t="s">
        <v>98</v>
      </c>
      <c r="B57" s="18" t="s">
        <v>99</v>
      </c>
      <c r="C57" s="19">
        <v>200</v>
      </c>
      <c r="D57" s="20">
        <v>0</v>
      </c>
      <c r="E57" s="21">
        <f t="shared" ref="E57:E89" si="30">C57+D57</f>
        <v>200</v>
      </c>
      <c r="F57" s="22">
        <f>2576-600</f>
        <v>1976</v>
      </c>
      <c r="G57" s="23">
        <f t="shared" si="25"/>
        <v>2176</v>
      </c>
      <c r="H57" s="39">
        <f>2776-600</f>
        <v>2176</v>
      </c>
      <c r="I57" s="25">
        <v>0</v>
      </c>
      <c r="J57" s="22">
        <f>1645.92+383.56</f>
        <v>2029.48</v>
      </c>
      <c r="K57" s="22">
        <f>1675.92+353.56</f>
        <v>2029.48</v>
      </c>
      <c r="L57" s="26">
        <f t="shared" si="26"/>
        <v>146.51999999999998</v>
      </c>
      <c r="M57" s="26">
        <f t="shared" si="27"/>
        <v>0</v>
      </c>
      <c r="N57" s="26">
        <f t="shared" si="28"/>
        <v>146.51999999999998</v>
      </c>
      <c r="O57" s="30">
        <f>100.92</f>
        <v>100.92</v>
      </c>
      <c r="P57" s="28">
        <f t="shared" si="29"/>
        <v>1928.56</v>
      </c>
      <c r="Q57" s="29">
        <f>SUM(K57/H57*1)</f>
        <v>0.93266544117647054</v>
      </c>
      <c r="R57" s="29">
        <f>SUM(J57/G57*1)</f>
        <v>0.93266544117647054</v>
      </c>
      <c r="S57" s="29">
        <f>SUM(K57/G57*1)</f>
        <v>0.93266544117647054</v>
      </c>
    </row>
    <row r="58" spans="1:229" x14ac:dyDescent="0.25">
      <c r="A58" s="17">
        <v>211</v>
      </c>
      <c r="B58" s="18" t="s">
        <v>100</v>
      </c>
      <c r="C58" s="31">
        <v>0</v>
      </c>
      <c r="D58" s="20">
        <v>0</v>
      </c>
      <c r="E58" s="21">
        <f t="shared" si="30"/>
        <v>0</v>
      </c>
      <c r="F58" s="23">
        <v>0</v>
      </c>
      <c r="G58" s="23">
        <f t="shared" si="25"/>
        <v>0</v>
      </c>
      <c r="H58" s="39">
        <v>0</v>
      </c>
      <c r="I58" s="25">
        <v>0</v>
      </c>
      <c r="J58" s="22">
        <v>0</v>
      </c>
      <c r="K58" s="22">
        <v>0</v>
      </c>
      <c r="L58" s="26">
        <f t="shared" si="26"/>
        <v>0</v>
      </c>
      <c r="M58" s="26">
        <f t="shared" si="27"/>
        <v>0</v>
      </c>
      <c r="N58" s="26">
        <f t="shared" si="28"/>
        <v>0</v>
      </c>
      <c r="O58" s="30">
        <v>0</v>
      </c>
      <c r="P58" s="28">
        <f t="shared" si="29"/>
        <v>0</v>
      </c>
      <c r="Q58" s="29">
        <v>0</v>
      </c>
      <c r="R58" s="29">
        <v>0</v>
      </c>
      <c r="S58" s="29">
        <v>0</v>
      </c>
    </row>
    <row r="59" spans="1:229" x14ac:dyDescent="0.25">
      <c r="A59" s="17">
        <v>212</v>
      </c>
      <c r="B59" s="18" t="s">
        <v>101</v>
      </c>
      <c r="C59" s="31">
        <v>0</v>
      </c>
      <c r="D59" s="20">
        <v>0</v>
      </c>
      <c r="E59" s="21">
        <f t="shared" si="30"/>
        <v>0</v>
      </c>
      <c r="F59" s="23">
        <f>799</f>
        <v>799</v>
      </c>
      <c r="G59" s="23">
        <f t="shared" si="25"/>
        <v>799</v>
      </c>
      <c r="H59" s="39">
        <f>799</f>
        <v>799</v>
      </c>
      <c r="I59" s="25">
        <v>0</v>
      </c>
      <c r="J59" s="22">
        <f>398.04</f>
        <v>398.04</v>
      </c>
      <c r="K59" s="22">
        <f>796.08</f>
        <v>796.08</v>
      </c>
      <c r="L59" s="26">
        <f t="shared" si="26"/>
        <v>2.9199999999999591</v>
      </c>
      <c r="M59" s="26">
        <f t="shared" si="27"/>
        <v>0</v>
      </c>
      <c r="N59" s="26">
        <f t="shared" si="28"/>
        <v>2.9199999999999591</v>
      </c>
      <c r="O59" s="30">
        <f>398.04</f>
        <v>398.04</v>
      </c>
      <c r="P59" s="28">
        <f t="shared" si="29"/>
        <v>398.04</v>
      </c>
      <c r="Q59" s="29">
        <v>0</v>
      </c>
      <c r="R59" s="29">
        <v>0</v>
      </c>
      <c r="S59" s="29">
        <v>0</v>
      </c>
    </row>
    <row r="60" spans="1:229" x14ac:dyDescent="0.25">
      <c r="A60" s="17">
        <v>214</v>
      </c>
      <c r="B60" s="18" t="s">
        <v>102</v>
      </c>
      <c r="C60" s="31">
        <v>0</v>
      </c>
      <c r="D60" s="20">
        <v>0</v>
      </c>
      <c r="E60" s="21">
        <f t="shared" si="30"/>
        <v>0</v>
      </c>
      <c r="F60" s="23">
        <f>15261-14600+1515</f>
        <v>2176</v>
      </c>
      <c r="G60" s="23">
        <f t="shared" si="25"/>
        <v>2176</v>
      </c>
      <c r="H60" s="39">
        <f>15261-14600+1515</f>
        <v>2176</v>
      </c>
      <c r="I60" s="25">
        <v>0</v>
      </c>
      <c r="J60" s="22">
        <f>10.69+564.96</f>
        <v>575.65000000000009</v>
      </c>
      <c r="K60" s="22">
        <f>10.69+564.96</f>
        <v>575.65000000000009</v>
      </c>
      <c r="L60" s="26">
        <f t="shared" si="26"/>
        <v>1600.35</v>
      </c>
      <c r="M60" s="26">
        <f t="shared" si="27"/>
        <v>0</v>
      </c>
      <c r="N60" s="26">
        <f t="shared" si="28"/>
        <v>1600.35</v>
      </c>
      <c r="O60" s="30">
        <f>10.69</f>
        <v>10.69</v>
      </c>
      <c r="P60" s="28">
        <f t="shared" si="29"/>
        <v>564.96</v>
      </c>
      <c r="Q60" s="29">
        <f>SUM(K60/H60*1)</f>
        <v>0.26454503676470592</v>
      </c>
      <c r="R60" s="29">
        <f t="shared" ref="R60:R68" si="31">SUM(J60/G60*1)</f>
        <v>0.26454503676470592</v>
      </c>
      <c r="S60" s="29">
        <f t="shared" ref="S60:S68" si="32">SUM(K60/G60*1)</f>
        <v>0.26454503676470592</v>
      </c>
    </row>
    <row r="61" spans="1:229" x14ac:dyDescent="0.25">
      <c r="A61" s="17" t="s">
        <v>103</v>
      </c>
      <c r="B61" s="18" t="s">
        <v>104</v>
      </c>
      <c r="C61" s="19">
        <v>1000</v>
      </c>
      <c r="D61" s="20">
        <v>0</v>
      </c>
      <c r="E61" s="21">
        <f t="shared" si="30"/>
        <v>1000</v>
      </c>
      <c r="F61" s="22">
        <v>4000</v>
      </c>
      <c r="G61" s="23">
        <f t="shared" si="25"/>
        <v>5000</v>
      </c>
      <c r="H61" s="24">
        <f>1000+4000</f>
        <v>5000</v>
      </c>
      <c r="I61" s="25">
        <v>0</v>
      </c>
      <c r="J61" s="22">
        <f>710.12+820.61</f>
        <v>1530.73</v>
      </c>
      <c r="K61" s="22">
        <f>710.12+4289.88</f>
        <v>5000</v>
      </c>
      <c r="L61" s="26">
        <f t="shared" si="26"/>
        <v>0</v>
      </c>
      <c r="M61" s="26">
        <f t="shared" si="27"/>
        <v>0</v>
      </c>
      <c r="N61" s="26">
        <f t="shared" si="28"/>
        <v>0</v>
      </c>
      <c r="O61" s="30">
        <f>307.62+402.5</f>
        <v>710.12</v>
      </c>
      <c r="P61" s="28">
        <f t="shared" si="29"/>
        <v>4289.88</v>
      </c>
      <c r="Q61" s="29">
        <f>SUM(K61/H61*1)</f>
        <v>1</v>
      </c>
      <c r="R61" s="29">
        <f t="shared" si="31"/>
        <v>0.30614600000000003</v>
      </c>
      <c r="S61" s="29">
        <f t="shared" si="32"/>
        <v>1</v>
      </c>
    </row>
    <row r="62" spans="1:229" x14ac:dyDescent="0.25">
      <c r="A62" s="17" t="s">
        <v>105</v>
      </c>
      <c r="B62" s="18" t="s">
        <v>106</v>
      </c>
      <c r="C62" s="19">
        <v>1743</v>
      </c>
      <c r="D62" s="20">
        <v>0</v>
      </c>
      <c r="E62" s="21">
        <f t="shared" si="30"/>
        <v>1743</v>
      </c>
      <c r="F62" s="22">
        <v>757</v>
      </c>
      <c r="G62" s="23">
        <f t="shared" si="25"/>
        <v>2500</v>
      </c>
      <c r="H62" s="24">
        <f>1743+757</f>
        <v>2500</v>
      </c>
      <c r="I62" s="25">
        <v>0</v>
      </c>
      <c r="J62" s="22">
        <f>245.15+277.39</f>
        <v>522.54</v>
      </c>
      <c r="K62" s="22">
        <f>245.15+2254.85</f>
        <v>2500</v>
      </c>
      <c r="L62" s="26">
        <f t="shared" si="26"/>
        <v>0</v>
      </c>
      <c r="M62" s="26">
        <f t="shared" si="27"/>
        <v>0</v>
      </c>
      <c r="N62" s="26">
        <f t="shared" si="28"/>
        <v>0</v>
      </c>
      <c r="O62" s="30">
        <f>89.13+156.02</f>
        <v>245.15</v>
      </c>
      <c r="P62" s="28">
        <f t="shared" si="29"/>
        <v>2254.85</v>
      </c>
      <c r="Q62" s="29">
        <f>SUM(K62/H62*1)</f>
        <v>1</v>
      </c>
      <c r="R62" s="29">
        <f t="shared" si="31"/>
        <v>0.20901599999999998</v>
      </c>
      <c r="S62" s="29">
        <f t="shared" si="32"/>
        <v>1</v>
      </c>
    </row>
    <row r="63" spans="1:229" x14ac:dyDescent="0.25">
      <c r="A63" s="17" t="s">
        <v>107</v>
      </c>
      <c r="B63" s="18" t="s">
        <v>108</v>
      </c>
      <c r="C63" s="19">
        <v>2179</v>
      </c>
      <c r="D63" s="20">
        <v>0</v>
      </c>
      <c r="E63" s="21">
        <f t="shared" si="30"/>
        <v>2179</v>
      </c>
      <c r="F63" s="22">
        <f>-700-479</f>
        <v>-1179</v>
      </c>
      <c r="G63" s="23">
        <f t="shared" si="25"/>
        <v>1000</v>
      </c>
      <c r="H63" s="39">
        <f>1000</f>
        <v>1000</v>
      </c>
      <c r="I63" s="25">
        <v>0</v>
      </c>
      <c r="J63" s="22">
        <v>0</v>
      </c>
      <c r="K63" s="22">
        <v>0</v>
      </c>
      <c r="L63" s="26">
        <f t="shared" si="26"/>
        <v>1000</v>
      </c>
      <c r="M63" s="26">
        <f t="shared" si="27"/>
        <v>0</v>
      </c>
      <c r="N63" s="26">
        <f t="shared" si="28"/>
        <v>1000</v>
      </c>
      <c r="O63" s="30">
        <v>0</v>
      </c>
      <c r="P63" s="28">
        <f t="shared" si="29"/>
        <v>0</v>
      </c>
      <c r="Q63" s="29">
        <v>0</v>
      </c>
      <c r="R63" s="29">
        <f t="shared" si="31"/>
        <v>0</v>
      </c>
      <c r="S63" s="29">
        <f t="shared" si="32"/>
        <v>0</v>
      </c>
    </row>
    <row r="64" spans="1:229" x14ac:dyDescent="0.25">
      <c r="A64" s="17">
        <v>231</v>
      </c>
      <c r="B64" s="18" t="s">
        <v>109</v>
      </c>
      <c r="C64" s="19">
        <v>2363</v>
      </c>
      <c r="D64" s="20">
        <v>0</v>
      </c>
      <c r="E64" s="21">
        <f t="shared" si="30"/>
        <v>2363</v>
      </c>
      <c r="F64" s="22">
        <f>-996-197-300</f>
        <v>-1493</v>
      </c>
      <c r="G64" s="23">
        <f t="shared" si="25"/>
        <v>870</v>
      </c>
      <c r="H64" s="39">
        <f>1367-197-300</f>
        <v>870</v>
      </c>
      <c r="I64" s="25">
        <v>0</v>
      </c>
      <c r="J64" s="22">
        <f>60+305.28</f>
        <v>365.28</v>
      </c>
      <c r="K64" s="22">
        <f>60+546.03-144.45</f>
        <v>461.58</v>
      </c>
      <c r="L64" s="26">
        <f t="shared" si="26"/>
        <v>408.42</v>
      </c>
      <c r="M64" s="26">
        <f t="shared" si="27"/>
        <v>0</v>
      </c>
      <c r="N64" s="26">
        <f t="shared" si="28"/>
        <v>408.42</v>
      </c>
      <c r="O64" s="30">
        <f>60+55</f>
        <v>115</v>
      </c>
      <c r="P64" s="28">
        <f t="shared" si="29"/>
        <v>346.58</v>
      </c>
      <c r="Q64" s="29">
        <f>SUM(K64/H64*1)</f>
        <v>0.53055172413793106</v>
      </c>
      <c r="R64" s="29">
        <f t="shared" si="31"/>
        <v>0.4198620689655172</v>
      </c>
      <c r="S64" s="29">
        <f t="shared" si="32"/>
        <v>0.53055172413793106</v>
      </c>
    </row>
    <row r="65" spans="1:229" x14ac:dyDescent="0.25">
      <c r="A65" s="17" t="s">
        <v>110</v>
      </c>
      <c r="B65" s="18" t="s">
        <v>111</v>
      </c>
      <c r="C65" s="19">
        <v>1000</v>
      </c>
      <c r="D65" s="20">
        <v>0</v>
      </c>
      <c r="E65" s="21">
        <f t="shared" si="30"/>
        <v>1000</v>
      </c>
      <c r="F65" s="22">
        <f>1000-200-200</f>
        <v>600</v>
      </c>
      <c r="G65" s="23">
        <f t="shared" si="25"/>
        <v>1600</v>
      </c>
      <c r="H65" s="39">
        <f>2000-200-200</f>
        <v>1600</v>
      </c>
      <c r="I65" s="25">
        <v>0</v>
      </c>
      <c r="J65" s="22">
        <f>1500.64</f>
        <v>1500.64</v>
      </c>
      <c r="K65" s="22">
        <f>1500.64</f>
        <v>1500.64</v>
      </c>
      <c r="L65" s="26">
        <f t="shared" si="26"/>
        <v>99.3599999999999</v>
      </c>
      <c r="M65" s="26">
        <f t="shared" si="27"/>
        <v>0</v>
      </c>
      <c r="N65" s="26">
        <f t="shared" si="28"/>
        <v>99.3599999999999</v>
      </c>
      <c r="O65" s="30">
        <f>567.21</f>
        <v>567.21</v>
      </c>
      <c r="P65" s="28">
        <f t="shared" si="29"/>
        <v>933.43000000000006</v>
      </c>
      <c r="Q65" s="29">
        <f>SUM(K65/H65*1)</f>
        <v>0.93790000000000007</v>
      </c>
      <c r="R65" s="29">
        <f t="shared" si="31"/>
        <v>0.93790000000000007</v>
      </c>
      <c r="S65" s="29">
        <f t="shared" si="32"/>
        <v>0.93790000000000007</v>
      </c>
    </row>
    <row r="66" spans="1:229" s="40" customFormat="1" ht="15.75" x14ac:dyDescent="0.25">
      <c r="A66" s="17">
        <v>239</v>
      </c>
      <c r="B66" s="18" t="s">
        <v>112</v>
      </c>
      <c r="C66" s="31">
        <v>0</v>
      </c>
      <c r="D66" s="20">
        <v>0</v>
      </c>
      <c r="E66" s="21">
        <f t="shared" si="30"/>
        <v>0</v>
      </c>
      <c r="F66" s="23">
        <f>450-200-200</f>
        <v>50</v>
      </c>
      <c r="G66" s="23">
        <f t="shared" si="25"/>
        <v>50</v>
      </c>
      <c r="H66" s="39">
        <f>450-200-200</f>
        <v>50</v>
      </c>
      <c r="I66" s="25">
        <v>0</v>
      </c>
      <c r="J66" s="22">
        <v>0</v>
      </c>
      <c r="K66" s="22">
        <v>0</v>
      </c>
      <c r="L66" s="26">
        <f t="shared" si="26"/>
        <v>50</v>
      </c>
      <c r="M66" s="26">
        <f t="shared" si="27"/>
        <v>0</v>
      </c>
      <c r="N66" s="26">
        <f t="shared" si="28"/>
        <v>50</v>
      </c>
      <c r="O66" s="30">
        <v>0</v>
      </c>
      <c r="P66" s="28">
        <f t="shared" si="29"/>
        <v>0</v>
      </c>
      <c r="Q66" s="29">
        <f>SUM(K66/H66*1)</f>
        <v>0</v>
      </c>
      <c r="R66" s="29">
        <f t="shared" si="31"/>
        <v>0</v>
      </c>
      <c r="S66" s="29">
        <f t="shared" si="32"/>
        <v>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</row>
    <row r="67" spans="1:229" s="40" customFormat="1" ht="15.75" x14ac:dyDescent="0.25">
      <c r="A67" s="17">
        <v>242</v>
      </c>
      <c r="B67" s="18" t="s">
        <v>113</v>
      </c>
      <c r="C67" s="19">
        <v>250</v>
      </c>
      <c r="D67" s="20">
        <v>0</v>
      </c>
      <c r="E67" s="21">
        <f t="shared" si="30"/>
        <v>250</v>
      </c>
      <c r="F67" s="22">
        <f>-50</f>
        <v>-50</v>
      </c>
      <c r="G67" s="23">
        <f t="shared" si="25"/>
        <v>200</v>
      </c>
      <c r="H67" s="39">
        <f>250-50</f>
        <v>200</v>
      </c>
      <c r="I67" s="25">
        <v>0</v>
      </c>
      <c r="J67" s="22">
        <f>134.71</f>
        <v>134.71</v>
      </c>
      <c r="K67" s="22">
        <f>134.71</f>
        <v>134.71</v>
      </c>
      <c r="L67" s="26">
        <f t="shared" si="26"/>
        <v>65.289999999999992</v>
      </c>
      <c r="M67" s="26">
        <f t="shared" si="27"/>
        <v>0</v>
      </c>
      <c r="N67" s="26">
        <f t="shared" si="28"/>
        <v>65.289999999999992</v>
      </c>
      <c r="O67" s="30">
        <v>0</v>
      </c>
      <c r="P67" s="28">
        <f t="shared" si="29"/>
        <v>134.71</v>
      </c>
      <c r="Q67" s="29">
        <f>SUM(K67/H67*1)</f>
        <v>0.67355000000000009</v>
      </c>
      <c r="R67" s="29">
        <f t="shared" si="31"/>
        <v>0.67355000000000009</v>
      </c>
      <c r="S67" s="29">
        <f t="shared" si="32"/>
        <v>0.67355000000000009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</row>
    <row r="68" spans="1:229" s="40" customFormat="1" ht="15.75" x14ac:dyDescent="0.25">
      <c r="A68" s="17" t="s">
        <v>114</v>
      </c>
      <c r="B68" s="18" t="s">
        <v>115</v>
      </c>
      <c r="C68" s="19">
        <v>1500</v>
      </c>
      <c r="D68" s="20">
        <v>0</v>
      </c>
      <c r="E68" s="21">
        <f t="shared" si="30"/>
        <v>1500</v>
      </c>
      <c r="F68" s="22">
        <f>-300+400-50</f>
        <v>50</v>
      </c>
      <c r="G68" s="23">
        <f t="shared" si="25"/>
        <v>1550</v>
      </c>
      <c r="H68" s="39">
        <f>200+400+950</f>
        <v>1550</v>
      </c>
      <c r="I68" s="25">
        <v>0</v>
      </c>
      <c r="J68" s="22">
        <f>540.33</f>
        <v>540.33000000000004</v>
      </c>
      <c r="K68" s="22">
        <f>465.35+74.98</f>
        <v>540.33000000000004</v>
      </c>
      <c r="L68" s="26">
        <f t="shared" si="26"/>
        <v>1009.67</v>
      </c>
      <c r="M68" s="26">
        <f t="shared" si="27"/>
        <v>0</v>
      </c>
      <c r="N68" s="26">
        <f t="shared" si="28"/>
        <v>1009.67</v>
      </c>
      <c r="O68" s="30">
        <v>0</v>
      </c>
      <c r="P68" s="28">
        <f t="shared" si="29"/>
        <v>540.33000000000004</v>
      </c>
      <c r="Q68" s="29">
        <f>SUM(K68/H68*1)</f>
        <v>0.34860000000000002</v>
      </c>
      <c r="R68" s="29">
        <f t="shared" si="31"/>
        <v>0.34860000000000002</v>
      </c>
      <c r="S68" s="29">
        <f t="shared" si="32"/>
        <v>0.34860000000000002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</row>
    <row r="69" spans="1:229" s="40" customFormat="1" ht="15.75" x14ac:dyDescent="0.25">
      <c r="A69" s="17">
        <v>244</v>
      </c>
      <c r="B69" s="18" t="s">
        <v>116</v>
      </c>
      <c r="C69" s="31">
        <v>0</v>
      </c>
      <c r="D69" s="20">
        <v>0</v>
      </c>
      <c r="E69" s="21">
        <f t="shared" si="30"/>
        <v>0</v>
      </c>
      <c r="F69" s="23"/>
      <c r="G69" s="23">
        <f t="shared" si="25"/>
        <v>0</v>
      </c>
      <c r="H69" s="39">
        <v>0</v>
      </c>
      <c r="I69" s="25">
        <v>0</v>
      </c>
      <c r="J69" s="22">
        <v>0</v>
      </c>
      <c r="K69" s="22">
        <v>0</v>
      </c>
      <c r="L69" s="26">
        <f t="shared" si="26"/>
        <v>0</v>
      </c>
      <c r="M69" s="26">
        <f t="shared" si="27"/>
        <v>0</v>
      </c>
      <c r="N69" s="26">
        <f t="shared" si="28"/>
        <v>0</v>
      </c>
      <c r="O69" s="30">
        <v>0</v>
      </c>
      <c r="P69" s="28">
        <f t="shared" si="29"/>
        <v>0</v>
      </c>
      <c r="Q69" s="29">
        <v>0</v>
      </c>
      <c r="R69" s="29">
        <v>0</v>
      </c>
      <c r="S69" s="29">
        <v>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</row>
    <row r="70" spans="1:229" s="40" customFormat="1" ht="15.75" x14ac:dyDescent="0.25">
      <c r="A70" s="17" t="s">
        <v>117</v>
      </c>
      <c r="B70" s="18" t="s">
        <v>118</v>
      </c>
      <c r="C70" s="19">
        <v>250</v>
      </c>
      <c r="D70" s="20">
        <v>0</v>
      </c>
      <c r="E70" s="21">
        <f t="shared" si="30"/>
        <v>250</v>
      </c>
      <c r="F70" s="22">
        <f>1608-1000+100</f>
        <v>708</v>
      </c>
      <c r="G70" s="23">
        <f t="shared" si="25"/>
        <v>958</v>
      </c>
      <c r="H70" s="39">
        <f>1858-1000+100</f>
        <v>958</v>
      </c>
      <c r="I70" s="25">
        <v>0</v>
      </c>
      <c r="J70" s="22">
        <f>213.14+474.21+58.36</f>
        <v>745.70999999999992</v>
      </c>
      <c r="K70" s="22">
        <f>352.66+485.61-15.25</f>
        <v>823.02</v>
      </c>
      <c r="L70" s="26">
        <f t="shared" si="26"/>
        <v>134.98000000000002</v>
      </c>
      <c r="M70" s="26">
        <f t="shared" si="27"/>
        <v>0</v>
      </c>
      <c r="N70" s="26">
        <f t="shared" si="28"/>
        <v>134.98000000000002</v>
      </c>
      <c r="O70" s="30">
        <f>213.14</f>
        <v>213.14</v>
      </c>
      <c r="P70" s="28">
        <f t="shared" si="29"/>
        <v>609.88</v>
      </c>
      <c r="Q70" s="29">
        <f>SUM(K70/H70*1)</f>
        <v>0.85910229645093938</v>
      </c>
      <c r="R70" s="29">
        <f>SUM(J70/G70*1)</f>
        <v>0.77840292275574108</v>
      </c>
      <c r="S70" s="29">
        <f>SUM(K70/G70*1)</f>
        <v>0.85910229645093938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</row>
    <row r="71" spans="1:229" s="40" customFormat="1" ht="15.75" x14ac:dyDescent="0.25">
      <c r="A71" s="17">
        <v>252</v>
      </c>
      <c r="B71" s="18" t="s">
        <v>119</v>
      </c>
      <c r="C71" s="31">
        <v>0</v>
      </c>
      <c r="D71" s="20">
        <v>0</v>
      </c>
      <c r="E71" s="21">
        <f t="shared" si="30"/>
        <v>0</v>
      </c>
      <c r="F71" s="23"/>
      <c r="G71" s="23">
        <f t="shared" si="25"/>
        <v>0</v>
      </c>
      <c r="H71" s="39">
        <v>0</v>
      </c>
      <c r="I71" s="25">
        <v>0</v>
      </c>
      <c r="J71" s="22">
        <v>0</v>
      </c>
      <c r="K71" s="22">
        <v>0</v>
      </c>
      <c r="L71" s="26">
        <f t="shared" si="26"/>
        <v>0</v>
      </c>
      <c r="M71" s="26">
        <f t="shared" si="27"/>
        <v>0</v>
      </c>
      <c r="N71" s="26">
        <f t="shared" si="28"/>
        <v>0</v>
      </c>
      <c r="O71" s="30">
        <v>0</v>
      </c>
      <c r="P71" s="28">
        <f t="shared" si="29"/>
        <v>0</v>
      </c>
      <c r="Q71" s="29">
        <v>0</v>
      </c>
      <c r="R71" s="29">
        <v>0</v>
      </c>
      <c r="S71" s="29">
        <v>0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</row>
    <row r="72" spans="1:229" s="40" customFormat="1" ht="15.75" x14ac:dyDescent="0.25">
      <c r="A72" s="17" t="s">
        <v>120</v>
      </c>
      <c r="B72" s="18" t="s">
        <v>121</v>
      </c>
      <c r="C72" s="31">
        <v>0</v>
      </c>
      <c r="D72" s="20">
        <v>0</v>
      </c>
      <c r="E72" s="21">
        <f t="shared" si="30"/>
        <v>0</v>
      </c>
      <c r="F72" s="23">
        <f>350+150</f>
        <v>500</v>
      </c>
      <c r="G72" s="23">
        <f t="shared" si="25"/>
        <v>500</v>
      </c>
      <c r="H72" s="39">
        <f>350+150</f>
        <v>500</v>
      </c>
      <c r="I72" s="25">
        <v>0</v>
      </c>
      <c r="J72" s="22">
        <f>400.94</f>
        <v>400.94</v>
      </c>
      <c r="K72" s="22">
        <f>323.2+77.74</f>
        <v>400.94</v>
      </c>
      <c r="L72" s="26">
        <f t="shared" si="26"/>
        <v>99.06</v>
      </c>
      <c r="M72" s="26">
        <f t="shared" si="27"/>
        <v>0</v>
      </c>
      <c r="N72" s="26">
        <f t="shared" si="28"/>
        <v>99.06</v>
      </c>
      <c r="O72" s="30">
        <v>0</v>
      </c>
      <c r="P72" s="28">
        <f t="shared" si="29"/>
        <v>400.94</v>
      </c>
      <c r="Q72" s="29">
        <f>SUM(K72/H72*1)</f>
        <v>0.80188000000000004</v>
      </c>
      <c r="R72" s="29">
        <f>SUM(J72/G72*1)</f>
        <v>0.80188000000000004</v>
      </c>
      <c r="S72" s="29">
        <f>SUM(K72/G72*1)</f>
        <v>0.80188000000000004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</row>
    <row r="73" spans="1:229" s="40" customFormat="1" ht="15.75" x14ac:dyDescent="0.25">
      <c r="A73" s="17" t="s">
        <v>122</v>
      </c>
      <c r="B73" s="18" t="s">
        <v>123</v>
      </c>
      <c r="C73" s="31">
        <v>0</v>
      </c>
      <c r="D73" s="20">
        <v>0</v>
      </c>
      <c r="E73" s="21">
        <f t="shared" si="30"/>
        <v>0</v>
      </c>
      <c r="F73" s="23">
        <f>200-100</f>
        <v>100</v>
      </c>
      <c r="G73" s="23">
        <f t="shared" si="25"/>
        <v>100</v>
      </c>
      <c r="H73" s="39">
        <f>200-100</f>
        <v>100</v>
      </c>
      <c r="I73" s="25">
        <v>0</v>
      </c>
      <c r="J73" s="22">
        <f>62.04+17.07</f>
        <v>79.11</v>
      </c>
      <c r="K73" s="22">
        <f>74.47+4.65</f>
        <v>79.12</v>
      </c>
      <c r="L73" s="26">
        <f t="shared" si="26"/>
        <v>20.879999999999995</v>
      </c>
      <c r="M73" s="26">
        <f t="shared" si="27"/>
        <v>0</v>
      </c>
      <c r="N73" s="26">
        <f t="shared" si="28"/>
        <v>20.879999999999995</v>
      </c>
      <c r="O73" s="30">
        <f>62.04</f>
        <v>62.04</v>
      </c>
      <c r="P73" s="28">
        <f t="shared" si="29"/>
        <v>17.080000000000005</v>
      </c>
      <c r="Q73" s="29">
        <f>SUM(K73/H73*1)</f>
        <v>0.79120000000000001</v>
      </c>
      <c r="R73" s="29">
        <f>SUM(J73/G73*1)</f>
        <v>0.79110000000000003</v>
      </c>
      <c r="S73" s="29">
        <f>SUM(K73/G73*1)</f>
        <v>0.79120000000000001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</row>
    <row r="74" spans="1:229" s="40" customFormat="1" ht="15.75" x14ac:dyDescent="0.25">
      <c r="A74" s="17" t="s">
        <v>124</v>
      </c>
      <c r="B74" s="18" t="s">
        <v>125</v>
      </c>
      <c r="C74" s="31">
        <v>0</v>
      </c>
      <c r="D74" s="20">
        <v>0</v>
      </c>
      <c r="E74" s="21">
        <f t="shared" si="30"/>
        <v>0</v>
      </c>
      <c r="F74" s="23">
        <f>350+350</f>
        <v>700</v>
      </c>
      <c r="G74" s="23">
        <f t="shared" si="25"/>
        <v>700</v>
      </c>
      <c r="H74" s="39">
        <f>350+350</f>
        <v>700</v>
      </c>
      <c r="I74" s="25">
        <v>0</v>
      </c>
      <c r="J74" s="22">
        <f>347.78</f>
        <v>347.78</v>
      </c>
      <c r="K74" s="22">
        <f>344.78+347.78</f>
        <v>692.56</v>
      </c>
      <c r="L74" s="26">
        <f t="shared" si="26"/>
        <v>7.4400000000000546</v>
      </c>
      <c r="M74" s="26">
        <f t="shared" si="27"/>
        <v>0</v>
      </c>
      <c r="N74" s="26">
        <f t="shared" si="28"/>
        <v>7.4400000000000546</v>
      </c>
      <c r="O74" s="30">
        <v>0</v>
      </c>
      <c r="P74" s="28">
        <f t="shared" si="29"/>
        <v>692.56</v>
      </c>
      <c r="Q74" s="29">
        <f>SUM(K74/H74*1)</f>
        <v>0.98937142857142846</v>
      </c>
      <c r="R74" s="29">
        <f>SUM(J74/G74*1)</f>
        <v>0.4968285714285714</v>
      </c>
      <c r="S74" s="29">
        <f>SUM(K74/G74*1)</f>
        <v>0.98937142857142846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</row>
    <row r="75" spans="1:229" s="40" customFormat="1" ht="15.75" x14ac:dyDescent="0.25">
      <c r="A75" s="17">
        <v>256</v>
      </c>
      <c r="B75" s="18" t="s">
        <v>126</v>
      </c>
      <c r="C75" s="31">
        <v>0</v>
      </c>
      <c r="D75" s="20">
        <v>0</v>
      </c>
      <c r="E75" s="21">
        <f t="shared" si="30"/>
        <v>0</v>
      </c>
      <c r="F75" s="23">
        <f>100+550</f>
        <v>650</v>
      </c>
      <c r="G75" s="23">
        <f t="shared" si="25"/>
        <v>650</v>
      </c>
      <c r="H75" s="39">
        <f>100+550</f>
        <v>650</v>
      </c>
      <c r="I75" s="25">
        <v>0</v>
      </c>
      <c r="J75" s="22">
        <f>9.16+572.14</f>
        <v>581.29999999999995</v>
      </c>
      <c r="K75" s="22">
        <f>487.24+94.06</f>
        <v>581.29999999999995</v>
      </c>
      <c r="L75" s="26">
        <f t="shared" si="26"/>
        <v>68.700000000000045</v>
      </c>
      <c r="M75" s="26">
        <f t="shared" si="27"/>
        <v>0</v>
      </c>
      <c r="N75" s="26">
        <f t="shared" si="28"/>
        <v>68.700000000000045</v>
      </c>
      <c r="O75" s="30">
        <f>9.16</f>
        <v>9.16</v>
      </c>
      <c r="P75" s="28">
        <f t="shared" si="29"/>
        <v>572.14</v>
      </c>
      <c r="Q75" s="29">
        <f>SUM(K75/H75*1)</f>
        <v>0.89430769230769225</v>
      </c>
      <c r="R75" s="29">
        <f>SUM(J75/G75*1)</f>
        <v>0.89430769230769225</v>
      </c>
      <c r="S75" s="29">
        <f>SUM(K75/G75*1)</f>
        <v>0.89430769230769225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</row>
    <row r="76" spans="1:229" s="40" customFormat="1" ht="15.75" x14ac:dyDescent="0.25">
      <c r="A76" s="17">
        <v>259</v>
      </c>
      <c r="B76" s="18" t="s">
        <v>127</v>
      </c>
      <c r="C76" s="31">
        <v>0</v>
      </c>
      <c r="D76" s="20">
        <v>0</v>
      </c>
      <c r="E76" s="21">
        <f t="shared" si="30"/>
        <v>0</v>
      </c>
      <c r="F76" s="23">
        <v>308</v>
      </c>
      <c r="G76" s="23">
        <f t="shared" si="25"/>
        <v>308</v>
      </c>
      <c r="H76" s="39">
        <f>308</f>
        <v>308</v>
      </c>
      <c r="I76" s="25">
        <v>0</v>
      </c>
      <c r="J76" s="22">
        <f>6.41+75.19+161.52</f>
        <v>243.12</v>
      </c>
      <c r="K76" s="22">
        <f>6.41+232.34+4.37</f>
        <v>243.12</v>
      </c>
      <c r="L76" s="26">
        <f t="shared" si="26"/>
        <v>64.88</v>
      </c>
      <c r="M76" s="26">
        <f t="shared" si="27"/>
        <v>0</v>
      </c>
      <c r="N76" s="26">
        <f t="shared" si="28"/>
        <v>64.88</v>
      </c>
      <c r="O76" s="30">
        <f>81.6</f>
        <v>81.599999999999994</v>
      </c>
      <c r="P76" s="28">
        <f t="shared" si="29"/>
        <v>161.52000000000001</v>
      </c>
      <c r="Q76" s="29">
        <f>SUM(K76/H76*1)</f>
        <v>0.78935064935064936</v>
      </c>
      <c r="R76" s="29">
        <f>SUM(J76/G76*1)</f>
        <v>0.78935064935064936</v>
      </c>
      <c r="S76" s="29">
        <f>SUM(K76/G76*1)</f>
        <v>0.78935064935064936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</row>
    <row r="77" spans="1:229" s="40" customFormat="1" ht="15.75" x14ac:dyDescent="0.25">
      <c r="A77" s="17" t="s">
        <v>128</v>
      </c>
      <c r="B77" s="18" t="s">
        <v>129</v>
      </c>
      <c r="C77" s="31">
        <v>0</v>
      </c>
      <c r="D77" s="20">
        <v>0</v>
      </c>
      <c r="E77" s="21">
        <f t="shared" si="30"/>
        <v>0</v>
      </c>
      <c r="F77" s="23">
        <f>0</f>
        <v>0</v>
      </c>
      <c r="G77" s="23">
        <f t="shared" si="25"/>
        <v>0</v>
      </c>
      <c r="H77" s="39">
        <v>0</v>
      </c>
      <c r="I77" s="25">
        <v>0</v>
      </c>
      <c r="J77" s="22">
        <v>0</v>
      </c>
      <c r="K77" s="22">
        <v>0</v>
      </c>
      <c r="L77" s="26">
        <f t="shared" si="26"/>
        <v>0</v>
      </c>
      <c r="M77" s="26">
        <f t="shared" si="27"/>
        <v>0</v>
      </c>
      <c r="N77" s="26">
        <f t="shared" si="28"/>
        <v>0</v>
      </c>
      <c r="O77" s="30">
        <v>0</v>
      </c>
      <c r="P77" s="28">
        <f t="shared" si="29"/>
        <v>0</v>
      </c>
      <c r="Q77" s="29">
        <v>0</v>
      </c>
      <c r="R77" s="29">
        <v>0</v>
      </c>
      <c r="S77" s="29">
        <v>0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</row>
    <row r="78" spans="1:229" s="40" customFormat="1" ht="15.75" x14ac:dyDescent="0.25">
      <c r="A78" s="17">
        <v>262</v>
      </c>
      <c r="B78" s="18" t="s">
        <v>130</v>
      </c>
      <c r="C78" s="31">
        <v>0</v>
      </c>
      <c r="D78" s="20">
        <v>0</v>
      </c>
      <c r="E78" s="21">
        <f t="shared" si="30"/>
        <v>0</v>
      </c>
      <c r="F78" s="23">
        <f>200</f>
        <v>200</v>
      </c>
      <c r="G78" s="23">
        <f t="shared" si="25"/>
        <v>200</v>
      </c>
      <c r="H78" s="39">
        <f>200</f>
        <v>200</v>
      </c>
      <c r="I78" s="25">
        <v>0</v>
      </c>
      <c r="J78" s="22">
        <f>187.32</f>
        <v>187.32</v>
      </c>
      <c r="K78" s="22">
        <f>128.55+58.77</f>
        <v>187.32000000000002</v>
      </c>
      <c r="L78" s="26">
        <f t="shared" si="26"/>
        <v>12.679999999999978</v>
      </c>
      <c r="M78" s="26">
        <f t="shared" si="27"/>
        <v>0</v>
      </c>
      <c r="N78" s="26">
        <f t="shared" si="28"/>
        <v>12.679999999999978</v>
      </c>
      <c r="O78" s="30">
        <v>0</v>
      </c>
      <c r="P78" s="28">
        <f t="shared" si="29"/>
        <v>187.32000000000002</v>
      </c>
      <c r="Q78" s="29">
        <f t="shared" ref="Q78:Q86" si="33">SUM(K78/H78*1)</f>
        <v>0.9366000000000001</v>
      </c>
      <c r="R78" s="29">
        <f t="shared" ref="R78:R86" si="34">SUM(J78/G78*1)</f>
        <v>0.93659999999999999</v>
      </c>
      <c r="S78" s="29">
        <f t="shared" ref="S78:S86" si="35">SUM(K78/G78*1)</f>
        <v>0.9366000000000001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</row>
    <row r="79" spans="1:229" s="40" customFormat="1" ht="15.75" x14ac:dyDescent="0.25">
      <c r="A79" s="17" t="s">
        <v>131</v>
      </c>
      <c r="B79" s="18" t="s">
        <v>132</v>
      </c>
      <c r="C79" s="19">
        <v>1000</v>
      </c>
      <c r="D79" s="20">
        <v>0</v>
      </c>
      <c r="E79" s="21">
        <f t="shared" si="30"/>
        <v>1000</v>
      </c>
      <c r="F79" s="22">
        <f>-107-100+1400</f>
        <v>1193</v>
      </c>
      <c r="G79" s="23">
        <f t="shared" si="25"/>
        <v>2193</v>
      </c>
      <c r="H79" s="39">
        <f>393-100+1900</f>
        <v>2193</v>
      </c>
      <c r="I79" s="25">
        <v>0</v>
      </c>
      <c r="J79" s="22">
        <f>92.29+666.14</f>
        <v>758.43</v>
      </c>
      <c r="K79" s="22">
        <f>92.29+1472.14</f>
        <v>1564.43</v>
      </c>
      <c r="L79" s="26">
        <f t="shared" si="26"/>
        <v>628.56999999999994</v>
      </c>
      <c r="M79" s="26">
        <f t="shared" si="27"/>
        <v>0</v>
      </c>
      <c r="N79" s="26">
        <f t="shared" si="28"/>
        <v>628.56999999999994</v>
      </c>
      <c r="O79" s="30">
        <f>92.29</f>
        <v>92.29</v>
      </c>
      <c r="P79" s="28">
        <f t="shared" si="29"/>
        <v>1472.14</v>
      </c>
      <c r="Q79" s="29">
        <f t="shared" si="33"/>
        <v>0.71337437300501594</v>
      </c>
      <c r="R79" s="29">
        <f t="shared" si="34"/>
        <v>0.3458413132694938</v>
      </c>
      <c r="S79" s="29">
        <f t="shared" si="35"/>
        <v>0.71337437300501594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</row>
    <row r="80" spans="1:229" s="40" customFormat="1" ht="15.75" x14ac:dyDescent="0.25">
      <c r="A80" s="17" t="s">
        <v>133</v>
      </c>
      <c r="B80" s="18" t="s">
        <v>134</v>
      </c>
      <c r="C80" s="31">
        <v>0</v>
      </c>
      <c r="D80" s="20">
        <v>0</v>
      </c>
      <c r="E80" s="21">
        <f t="shared" si="30"/>
        <v>0</v>
      </c>
      <c r="F80" s="23">
        <f>8050-300</f>
        <v>7750</v>
      </c>
      <c r="G80" s="23">
        <f t="shared" si="25"/>
        <v>7750</v>
      </c>
      <c r="H80" s="39">
        <f>8050-300</f>
        <v>7750</v>
      </c>
      <c r="I80" s="25">
        <v>0</v>
      </c>
      <c r="J80" s="22">
        <f>269.99+323.6+2.73</f>
        <v>596.32000000000005</v>
      </c>
      <c r="K80" s="22">
        <f>269.99+7214.4+99.03</f>
        <v>7583.4199999999992</v>
      </c>
      <c r="L80" s="26">
        <f t="shared" si="26"/>
        <v>166.58000000000084</v>
      </c>
      <c r="M80" s="26">
        <f t="shared" si="27"/>
        <v>0</v>
      </c>
      <c r="N80" s="26">
        <f t="shared" si="28"/>
        <v>166.58000000000084</v>
      </c>
      <c r="O80" s="30">
        <f>523.74+32.36</f>
        <v>556.1</v>
      </c>
      <c r="P80" s="28">
        <f t="shared" si="29"/>
        <v>7027.3199999999988</v>
      </c>
      <c r="Q80" s="29">
        <f t="shared" si="33"/>
        <v>0.97850580645161278</v>
      </c>
      <c r="R80" s="29">
        <f t="shared" si="34"/>
        <v>7.6944516129032262E-2</v>
      </c>
      <c r="S80" s="29">
        <f t="shared" si="35"/>
        <v>0.97850580645161278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</row>
    <row r="81" spans="1:229" s="40" customFormat="1" ht="15.75" x14ac:dyDescent="0.25">
      <c r="A81" s="17" t="s">
        <v>135</v>
      </c>
      <c r="B81" s="18" t="s">
        <v>136</v>
      </c>
      <c r="C81" s="19">
        <v>1000</v>
      </c>
      <c r="D81" s="20">
        <v>0</v>
      </c>
      <c r="E81" s="21">
        <f t="shared" si="30"/>
        <v>1000</v>
      </c>
      <c r="F81" s="22">
        <f>-698-250</f>
        <v>-948</v>
      </c>
      <c r="G81" s="23">
        <f t="shared" si="25"/>
        <v>52</v>
      </c>
      <c r="H81" s="39">
        <f>302-250</f>
        <v>52</v>
      </c>
      <c r="I81" s="25">
        <v>0</v>
      </c>
      <c r="J81" s="22">
        <f>24.46+2</f>
        <v>26.46</v>
      </c>
      <c r="K81" s="22">
        <f>24.46+2</f>
        <v>26.46</v>
      </c>
      <c r="L81" s="26">
        <f t="shared" si="26"/>
        <v>25.54</v>
      </c>
      <c r="M81" s="26">
        <f t="shared" si="27"/>
        <v>0</v>
      </c>
      <c r="N81" s="26">
        <f t="shared" si="28"/>
        <v>25.54</v>
      </c>
      <c r="O81" s="30">
        <f>24.46</f>
        <v>24.46</v>
      </c>
      <c r="P81" s="28">
        <f t="shared" si="29"/>
        <v>2</v>
      </c>
      <c r="Q81" s="29">
        <f t="shared" si="33"/>
        <v>0.50884615384615384</v>
      </c>
      <c r="R81" s="29">
        <f t="shared" si="34"/>
        <v>0.50884615384615384</v>
      </c>
      <c r="S81" s="29">
        <f t="shared" si="35"/>
        <v>0.50884615384615384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</row>
    <row r="82" spans="1:229" x14ac:dyDescent="0.25">
      <c r="A82" s="17" t="s">
        <v>137</v>
      </c>
      <c r="B82" s="18" t="s">
        <v>138</v>
      </c>
      <c r="C82" s="19">
        <v>2246</v>
      </c>
      <c r="D82" s="20">
        <v>0</v>
      </c>
      <c r="E82" s="21">
        <f t="shared" si="30"/>
        <v>2246</v>
      </c>
      <c r="F82" s="22">
        <f>2718-3400</f>
        <v>-682</v>
      </c>
      <c r="G82" s="23">
        <f t="shared" si="25"/>
        <v>1564</v>
      </c>
      <c r="H82" s="39">
        <f>4964-3400</f>
        <v>1564</v>
      </c>
      <c r="I82" s="25">
        <v>0</v>
      </c>
      <c r="J82" s="22">
        <f>128.86+1333.77-323.6</f>
        <v>1139.0300000000002</v>
      </c>
      <c r="K82" s="22">
        <f>1053.02+409.61</f>
        <v>1462.63</v>
      </c>
      <c r="L82" s="26">
        <f t="shared" si="26"/>
        <v>101.36999999999989</v>
      </c>
      <c r="M82" s="26">
        <f t="shared" si="27"/>
        <v>0</v>
      </c>
      <c r="N82" s="26">
        <f t="shared" si="28"/>
        <v>101.36999999999989</v>
      </c>
      <c r="O82" s="30">
        <f>17.22+685.16</f>
        <v>702.38</v>
      </c>
      <c r="P82" s="28">
        <f t="shared" si="29"/>
        <v>760.25000000000011</v>
      </c>
      <c r="Q82" s="29">
        <f t="shared" si="33"/>
        <v>0.93518542199488497</v>
      </c>
      <c r="R82" s="29">
        <f t="shared" si="34"/>
        <v>0.72828005115089522</v>
      </c>
      <c r="S82" s="29">
        <f t="shared" si="35"/>
        <v>0.93518542199488497</v>
      </c>
    </row>
    <row r="83" spans="1:229" x14ac:dyDescent="0.25">
      <c r="A83" s="17" t="s">
        <v>139</v>
      </c>
      <c r="B83" s="18" t="s">
        <v>140</v>
      </c>
      <c r="C83" s="19">
        <v>3047</v>
      </c>
      <c r="D83" s="20">
        <v>0</v>
      </c>
      <c r="E83" s="21">
        <f t="shared" si="30"/>
        <v>3047</v>
      </c>
      <c r="F83" s="22">
        <f>4300-1800-550</f>
        <v>1950</v>
      </c>
      <c r="G83" s="23">
        <f t="shared" si="25"/>
        <v>4997</v>
      </c>
      <c r="H83" s="39">
        <f>7347-1800-550</f>
        <v>4997</v>
      </c>
      <c r="I83" s="25">
        <v>0</v>
      </c>
      <c r="J83" s="22">
        <f>139.29+4482.51+95.12</f>
        <v>4716.92</v>
      </c>
      <c r="K83" s="22">
        <f>139.29+4482.51+262.1</f>
        <v>4883.9000000000005</v>
      </c>
      <c r="L83" s="26">
        <f t="shared" si="26"/>
        <v>113.09999999999945</v>
      </c>
      <c r="M83" s="26">
        <f t="shared" si="27"/>
        <v>0</v>
      </c>
      <c r="N83" s="26">
        <f t="shared" si="28"/>
        <v>113.09999999999945</v>
      </c>
      <c r="O83" s="30">
        <f>271.97+2511.24</f>
        <v>2783.21</v>
      </c>
      <c r="P83" s="28">
        <f t="shared" si="29"/>
        <v>2100.6900000000005</v>
      </c>
      <c r="Q83" s="29">
        <f t="shared" si="33"/>
        <v>0.97736641985191131</v>
      </c>
      <c r="R83" s="29">
        <f t="shared" si="34"/>
        <v>0.94395037022213324</v>
      </c>
      <c r="S83" s="29">
        <f t="shared" si="35"/>
        <v>0.97736641985191131</v>
      </c>
    </row>
    <row r="84" spans="1:229" x14ac:dyDescent="0.25">
      <c r="A84" s="17" t="s">
        <v>141</v>
      </c>
      <c r="B84" s="18" t="s">
        <v>142</v>
      </c>
      <c r="C84" s="19">
        <v>500</v>
      </c>
      <c r="D84" s="20">
        <v>0</v>
      </c>
      <c r="E84" s="21">
        <f t="shared" si="30"/>
        <v>500</v>
      </c>
      <c r="F84" s="22">
        <f>-200+300</f>
        <v>100</v>
      </c>
      <c r="G84" s="23">
        <f t="shared" si="25"/>
        <v>600</v>
      </c>
      <c r="H84" s="39">
        <f>300+300</f>
        <v>600</v>
      </c>
      <c r="I84" s="25">
        <v>0</v>
      </c>
      <c r="J84" s="22">
        <f>8.6+258.94</f>
        <v>267.54000000000002</v>
      </c>
      <c r="K84" s="22">
        <f>8.6+521.09</f>
        <v>529.69000000000005</v>
      </c>
      <c r="L84" s="26">
        <f t="shared" si="26"/>
        <v>70.309999999999945</v>
      </c>
      <c r="M84" s="26">
        <f t="shared" si="27"/>
        <v>0</v>
      </c>
      <c r="N84" s="26">
        <f t="shared" si="28"/>
        <v>70.309999999999945</v>
      </c>
      <c r="O84" s="30">
        <v>0</v>
      </c>
      <c r="P84" s="28">
        <f t="shared" si="29"/>
        <v>529.69000000000005</v>
      </c>
      <c r="Q84" s="29">
        <f t="shared" si="33"/>
        <v>0.8828166666666668</v>
      </c>
      <c r="R84" s="29">
        <f t="shared" si="34"/>
        <v>0.44590000000000002</v>
      </c>
      <c r="S84" s="29">
        <f t="shared" si="35"/>
        <v>0.8828166666666668</v>
      </c>
    </row>
    <row r="85" spans="1:229" x14ac:dyDescent="0.25">
      <c r="A85" s="17" t="s">
        <v>143</v>
      </c>
      <c r="B85" s="18" t="s">
        <v>144</v>
      </c>
      <c r="C85" s="19">
        <v>1134</v>
      </c>
      <c r="D85" s="20">
        <v>0</v>
      </c>
      <c r="E85" s="21">
        <f t="shared" si="30"/>
        <v>1134</v>
      </c>
      <c r="F85" s="22">
        <f>1500-350</f>
        <v>1150</v>
      </c>
      <c r="G85" s="23">
        <f t="shared" si="25"/>
        <v>2284</v>
      </c>
      <c r="H85" s="39">
        <f>134+1500+650</f>
        <v>2284</v>
      </c>
      <c r="I85" s="25">
        <v>0</v>
      </c>
      <c r="J85" s="22">
        <f>378.53+44.25</f>
        <v>422.78</v>
      </c>
      <c r="K85" s="22">
        <f>378.53+166.22</f>
        <v>544.75</v>
      </c>
      <c r="L85" s="26">
        <f t="shared" si="26"/>
        <v>1739.25</v>
      </c>
      <c r="M85" s="26">
        <f t="shared" si="27"/>
        <v>0</v>
      </c>
      <c r="N85" s="26">
        <f t="shared" si="28"/>
        <v>1739.25</v>
      </c>
      <c r="O85" s="30">
        <f>5.35</f>
        <v>5.35</v>
      </c>
      <c r="P85" s="28">
        <f t="shared" si="29"/>
        <v>539.4</v>
      </c>
      <c r="Q85" s="29">
        <f t="shared" si="33"/>
        <v>0.23850700525394045</v>
      </c>
      <c r="R85" s="29">
        <f t="shared" si="34"/>
        <v>0.18510507880910682</v>
      </c>
      <c r="S85" s="29">
        <f t="shared" si="35"/>
        <v>0.23850700525394045</v>
      </c>
    </row>
    <row r="86" spans="1:229" x14ac:dyDescent="0.25">
      <c r="A86" s="17">
        <v>291</v>
      </c>
      <c r="B86" s="41" t="s">
        <v>145</v>
      </c>
      <c r="C86" s="19"/>
      <c r="D86" s="20"/>
      <c r="E86" s="21">
        <f t="shared" si="30"/>
        <v>0</v>
      </c>
      <c r="F86" s="22">
        <f>280-100</f>
        <v>180</v>
      </c>
      <c r="G86" s="23">
        <f t="shared" si="25"/>
        <v>180</v>
      </c>
      <c r="H86" s="39">
        <f>280-100</f>
        <v>180</v>
      </c>
      <c r="I86" s="25"/>
      <c r="J86" s="22">
        <f>170</f>
        <v>170</v>
      </c>
      <c r="K86" s="22">
        <f>170</f>
        <v>170</v>
      </c>
      <c r="L86" s="26">
        <f t="shared" si="26"/>
        <v>10</v>
      </c>
      <c r="M86" s="26"/>
      <c r="N86" s="26">
        <f t="shared" si="28"/>
        <v>10</v>
      </c>
      <c r="O86" s="30">
        <f>170</f>
        <v>170</v>
      </c>
      <c r="P86" s="28">
        <f t="shared" si="29"/>
        <v>0</v>
      </c>
      <c r="Q86" s="29">
        <f t="shared" si="33"/>
        <v>0.94444444444444442</v>
      </c>
      <c r="R86" s="29">
        <f t="shared" si="34"/>
        <v>0.94444444444444442</v>
      </c>
      <c r="S86" s="29">
        <f t="shared" si="35"/>
        <v>0.94444444444444442</v>
      </c>
    </row>
    <row r="87" spans="1:229" x14ac:dyDescent="0.25">
      <c r="A87" s="17">
        <v>292</v>
      </c>
      <c r="B87" s="18" t="s">
        <v>146</v>
      </c>
      <c r="C87" s="31">
        <v>0</v>
      </c>
      <c r="D87" s="20">
        <v>0</v>
      </c>
      <c r="E87" s="21">
        <f t="shared" si="30"/>
        <v>0</v>
      </c>
      <c r="F87" s="23">
        <f>399-399</f>
        <v>0</v>
      </c>
      <c r="G87" s="23">
        <f t="shared" si="25"/>
        <v>0</v>
      </c>
      <c r="H87" s="39">
        <f>399-399</f>
        <v>0</v>
      </c>
      <c r="I87" s="25">
        <v>0</v>
      </c>
      <c r="J87" s="22">
        <v>0</v>
      </c>
      <c r="K87" s="22">
        <v>0</v>
      </c>
      <c r="L87" s="26">
        <f t="shared" si="26"/>
        <v>0</v>
      </c>
      <c r="M87" s="26">
        <f>SUM(G87-H87)</f>
        <v>0</v>
      </c>
      <c r="N87" s="26">
        <f t="shared" si="28"/>
        <v>0</v>
      </c>
      <c r="O87" s="30">
        <v>0</v>
      </c>
      <c r="P87" s="28">
        <f t="shared" si="29"/>
        <v>0</v>
      </c>
      <c r="Q87" s="29">
        <v>0</v>
      </c>
      <c r="R87" s="29">
        <v>0</v>
      </c>
      <c r="S87" s="29">
        <v>0</v>
      </c>
    </row>
    <row r="88" spans="1:229" x14ac:dyDescent="0.25">
      <c r="A88" s="17">
        <v>293</v>
      </c>
      <c r="B88" s="41" t="s">
        <v>147</v>
      </c>
      <c r="C88" s="31"/>
      <c r="D88" s="20"/>
      <c r="E88" s="21">
        <f t="shared" si="30"/>
        <v>0</v>
      </c>
      <c r="F88" s="23">
        <f>562</f>
        <v>562</v>
      </c>
      <c r="G88" s="23">
        <f t="shared" si="25"/>
        <v>562</v>
      </c>
      <c r="H88" s="39">
        <f>562</f>
        <v>562</v>
      </c>
      <c r="I88" s="25"/>
      <c r="J88" s="22">
        <f>561.72</f>
        <v>561.72</v>
      </c>
      <c r="K88" s="22">
        <f>561.72</f>
        <v>561.72</v>
      </c>
      <c r="L88" s="26"/>
      <c r="M88" s="26"/>
      <c r="N88" s="26"/>
      <c r="O88" s="30">
        <f>561.72</f>
        <v>561.72</v>
      </c>
      <c r="P88" s="28">
        <f t="shared" si="29"/>
        <v>0</v>
      </c>
      <c r="Q88" s="29">
        <f>SUM(K88/H88*1)</f>
        <v>0.99950177935943063</v>
      </c>
      <c r="R88" s="29">
        <f>SUM(J88/G88*1)</f>
        <v>0.99950177935943063</v>
      </c>
      <c r="S88" s="29">
        <f>SUM(K88/G88*1)</f>
        <v>0.99950177935943063</v>
      </c>
    </row>
    <row r="89" spans="1:229" ht="15.75" thickBot="1" x14ac:dyDescent="0.3">
      <c r="A89" s="17">
        <v>297</v>
      </c>
      <c r="B89" s="18" t="s">
        <v>148</v>
      </c>
      <c r="C89" s="31">
        <v>0</v>
      </c>
      <c r="D89" s="20">
        <v>0</v>
      </c>
      <c r="E89" s="21">
        <f t="shared" si="30"/>
        <v>0</v>
      </c>
      <c r="F89" s="23">
        <f>0</f>
        <v>0</v>
      </c>
      <c r="G89" s="23">
        <f t="shared" si="25"/>
        <v>0</v>
      </c>
      <c r="H89" s="39">
        <v>0</v>
      </c>
      <c r="I89" s="25">
        <v>0</v>
      </c>
      <c r="J89" s="22">
        <v>0</v>
      </c>
      <c r="K89" s="22">
        <v>0</v>
      </c>
      <c r="L89" s="26">
        <f>SUM(H89-K89)</f>
        <v>0</v>
      </c>
      <c r="M89" s="26">
        <f>SUM(G89-H89)</f>
        <v>0</v>
      </c>
      <c r="N89" s="26">
        <f>SUM(-I89+L89+M89)</f>
        <v>0</v>
      </c>
      <c r="O89" s="30">
        <v>0</v>
      </c>
      <c r="P89" s="28">
        <f t="shared" si="29"/>
        <v>0</v>
      </c>
      <c r="Q89" s="29">
        <v>0</v>
      </c>
      <c r="R89" s="29">
        <v>0</v>
      </c>
      <c r="S89" s="29">
        <v>0</v>
      </c>
    </row>
    <row r="90" spans="1:229" s="2" customFormat="1" ht="12.75" thickBot="1" x14ac:dyDescent="0.25">
      <c r="A90" s="33">
        <v>3</v>
      </c>
      <c r="B90" s="34" t="s">
        <v>149</v>
      </c>
      <c r="C90" s="35">
        <f>SUM(C91:C97)</f>
        <v>0</v>
      </c>
      <c r="D90" s="36">
        <f>SUM(D91:D97)</f>
        <v>0</v>
      </c>
      <c r="E90" s="35">
        <f>SUM(E91:E97)</f>
        <v>0</v>
      </c>
      <c r="F90" s="36">
        <f>2370</f>
        <v>2370</v>
      </c>
      <c r="G90" s="36">
        <f t="shared" si="25"/>
        <v>2370</v>
      </c>
      <c r="H90" s="36">
        <f t="shared" ref="H90:P90" si="36">SUM(H91:H97)</f>
        <v>2370</v>
      </c>
      <c r="I90" s="36">
        <f t="shared" si="36"/>
        <v>0</v>
      </c>
      <c r="J90" s="36">
        <f t="shared" si="36"/>
        <v>2060.16</v>
      </c>
      <c r="K90" s="36">
        <f t="shared" si="36"/>
        <v>2367.98</v>
      </c>
      <c r="L90" s="36">
        <f t="shared" si="36"/>
        <v>2.0199999999999818</v>
      </c>
      <c r="M90" s="36">
        <f t="shared" si="36"/>
        <v>0</v>
      </c>
      <c r="N90" s="36">
        <f t="shared" si="36"/>
        <v>2.0199999999999818</v>
      </c>
      <c r="O90" s="36">
        <f t="shared" si="36"/>
        <v>0</v>
      </c>
      <c r="P90" s="42">
        <f t="shared" si="36"/>
        <v>2367.98</v>
      </c>
      <c r="Q90" s="43">
        <f>SUM(K90/H90*1)</f>
        <v>0.99914767932489457</v>
      </c>
      <c r="R90" s="44">
        <f>SUM(J90/G90*1)</f>
        <v>0.86926582278481002</v>
      </c>
      <c r="S90" s="45">
        <f>SUM(K90/G90*1)</f>
        <v>0.99914767932489457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</row>
    <row r="91" spans="1:229" s="2" customFormat="1" x14ac:dyDescent="0.25">
      <c r="A91" s="17" t="s">
        <v>150</v>
      </c>
      <c r="B91" s="18" t="s">
        <v>151</v>
      </c>
      <c r="C91" s="46">
        <v>0</v>
      </c>
      <c r="D91" s="20">
        <v>0</v>
      </c>
      <c r="E91" s="47">
        <f>C91+D91</f>
        <v>0</v>
      </c>
      <c r="F91" s="48">
        <v>0</v>
      </c>
      <c r="G91" s="23">
        <f t="shared" si="25"/>
        <v>0</v>
      </c>
      <c r="H91" s="26">
        <f t="shared" ref="H91:H97" si="37">SUM(D91-G91)</f>
        <v>0</v>
      </c>
      <c r="I91" s="25">
        <v>0</v>
      </c>
      <c r="J91" s="22">
        <v>0</v>
      </c>
      <c r="K91" s="22">
        <v>0</v>
      </c>
      <c r="L91" s="26">
        <f t="shared" ref="L91:L97" si="38">SUM(H91-K91)</f>
        <v>0</v>
      </c>
      <c r="M91" s="26">
        <f t="shared" ref="M91:M97" si="39">SUM(G91-H91)</f>
        <v>0</v>
      </c>
      <c r="N91" s="26">
        <f t="shared" ref="N91:N97" si="40">SUM(-I91+L91+M91)</f>
        <v>0</v>
      </c>
      <c r="O91" s="30">
        <v>0</v>
      </c>
      <c r="P91" s="28">
        <f t="shared" ref="P91:P97" si="41">K91-O91</f>
        <v>0</v>
      </c>
      <c r="Q91" s="29">
        <v>0</v>
      </c>
      <c r="R91" s="29">
        <v>0</v>
      </c>
      <c r="S91" s="29">
        <v>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229" x14ac:dyDescent="0.25">
      <c r="A92" s="17">
        <v>314</v>
      </c>
      <c r="B92" s="18" t="s">
        <v>152</v>
      </c>
      <c r="C92" s="46">
        <v>0</v>
      </c>
      <c r="D92" s="20">
        <v>0</v>
      </c>
      <c r="E92" s="47">
        <f t="shared" ref="E92:E97" si="42">C92+D92</f>
        <v>0</v>
      </c>
      <c r="F92" s="48">
        <v>0</v>
      </c>
      <c r="G92" s="23">
        <f t="shared" si="25"/>
        <v>0</v>
      </c>
      <c r="H92" s="26">
        <f t="shared" si="37"/>
        <v>0</v>
      </c>
      <c r="I92" s="25">
        <v>0</v>
      </c>
      <c r="J92" s="22">
        <v>0</v>
      </c>
      <c r="K92" s="22">
        <v>0</v>
      </c>
      <c r="L92" s="26">
        <f t="shared" si="38"/>
        <v>0</v>
      </c>
      <c r="M92" s="26">
        <f t="shared" si="39"/>
        <v>0</v>
      </c>
      <c r="N92" s="26">
        <f t="shared" si="40"/>
        <v>0</v>
      </c>
      <c r="O92" s="30">
        <v>0</v>
      </c>
      <c r="P92" s="28">
        <f t="shared" si="41"/>
        <v>0</v>
      </c>
      <c r="Q92" s="29">
        <v>0</v>
      </c>
      <c r="R92" s="29">
        <v>0</v>
      </c>
      <c r="S92" s="29">
        <v>0</v>
      </c>
    </row>
    <row r="93" spans="1:229" x14ac:dyDescent="0.25">
      <c r="A93" s="17">
        <v>320</v>
      </c>
      <c r="B93" s="18" t="s">
        <v>153</v>
      </c>
      <c r="C93" s="46">
        <v>0</v>
      </c>
      <c r="D93" s="20">
        <v>0</v>
      </c>
      <c r="E93" s="47">
        <f t="shared" si="42"/>
        <v>0</v>
      </c>
      <c r="F93" s="48">
        <v>0</v>
      </c>
      <c r="G93" s="23">
        <f t="shared" si="25"/>
        <v>0</v>
      </c>
      <c r="H93" s="26">
        <f t="shared" si="37"/>
        <v>0</v>
      </c>
      <c r="I93" s="25">
        <v>0</v>
      </c>
      <c r="J93" s="22">
        <v>0</v>
      </c>
      <c r="K93" s="22">
        <v>0</v>
      </c>
      <c r="L93" s="26">
        <f t="shared" si="38"/>
        <v>0</v>
      </c>
      <c r="M93" s="26">
        <f t="shared" si="39"/>
        <v>0</v>
      </c>
      <c r="N93" s="26">
        <f t="shared" si="40"/>
        <v>0</v>
      </c>
      <c r="O93" s="30">
        <v>0</v>
      </c>
      <c r="P93" s="28">
        <f t="shared" si="41"/>
        <v>0</v>
      </c>
      <c r="Q93" s="29">
        <v>0</v>
      </c>
      <c r="R93" s="29">
        <v>0</v>
      </c>
      <c r="S93" s="29">
        <v>0</v>
      </c>
    </row>
    <row r="94" spans="1:229" x14ac:dyDescent="0.25">
      <c r="A94" s="17" t="s">
        <v>154</v>
      </c>
      <c r="B94" s="18" t="s">
        <v>155</v>
      </c>
      <c r="C94" s="46">
        <v>0</v>
      </c>
      <c r="D94" s="20">
        <v>0</v>
      </c>
      <c r="E94" s="47">
        <f t="shared" si="42"/>
        <v>0</v>
      </c>
      <c r="F94" s="48">
        <v>0</v>
      </c>
      <c r="G94" s="23">
        <f t="shared" si="25"/>
        <v>0</v>
      </c>
      <c r="H94" s="26">
        <f t="shared" si="37"/>
        <v>0</v>
      </c>
      <c r="I94" s="25">
        <v>0</v>
      </c>
      <c r="J94" s="22">
        <v>0</v>
      </c>
      <c r="K94" s="22">
        <v>0</v>
      </c>
      <c r="L94" s="26">
        <f t="shared" si="38"/>
        <v>0</v>
      </c>
      <c r="M94" s="26">
        <f t="shared" si="39"/>
        <v>0</v>
      </c>
      <c r="N94" s="26">
        <f t="shared" si="40"/>
        <v>0</v>
      </c>
      <c r="O94" s="30">
        <v>0</v>
      </c>
      <c r="P94" s="28">
        <f t="shared" si="41"/>
        <v>0</v>
      </c>
      <c r="Q94" s="29">
        <v>0</v>
      </c>
      <c r="R94" s="29">
        <v>0</v>
      </c>
      <c r="S94" s="29">
        <v>0</v>
      </c>
    </row>
    <row r="95" spans="1:229" x14ac:dyDescent="0.25">
      <c r="A95" s="17" t="s">
        <v>156</v>
      </c>
      <c r="B95" s="18" t="s">
        <v>157</v>
      </c>
      <c r="C95" s="46">
        <v>0</v>
      </c>
      <c r="D95" s="20">
        <v>0</v>
      </c>
      <c r="E95" s="47">
        <f t="shared" si="42"/>
        <v>0</v>
      </c>
      <c r="F95" s="48">
        <f>2370</f>
        <v>2370</v>
      </c>
      <c r="G95" s="23">
        <f t="shared" si="25"/>
        <v>2370</v>
      </c>
      <c r="H95" s="26">
        <f>-2370+4740</f>
        <v>2370</v>
      </c>
      <c r="I95" s="25">
        <v>0</v>
      </c>
      <c r="J95" s="22">
        <f>2060.16</f>
        <v>2060.16</v>
      </c>
      <c r="K95" s="22">
        <f>2367.98</f>
        <v>2367.98</v>
      </c>
      <c r="L95" s="26">
        <f t="shared" si="38"/>
        <v>2.0199999999999818</v>
      </c>
      <c r="M95" s="26">
        <f t="shared" si="39"/>
        <v>0</v>
      </c>
      <c r="N95" s="26">
        <f t="shared" si="40"/>
        <v>2.0199999999999818</v>
      </c>
      <c r="O95" s="30">
        <v>0</v>
      </c>
      <c r="P95" s="28">
        <f t="shared" si="41"/>
        <v>2367.98</v>
      </c>
      <c r="Q95" s="29">
        <f t="shared" ref="Q95" si="43">SUM(K95/H95*1)</f>
        <v>0.99914767932489457</v>
      </c>
      <c r="R95" s="29">
        <f t="shared" ref="R95" si="44">SUM(J95/G95*1)</f>
        <v>0.86926582278481002</v>
      </c>
      <c r="S95" s="29">
        <f t="shared" ref="S95" si="45">SUM(K95/G95*1)</f>
        <v>0.99914767932489457</v>
      </c>
    </row>
    <row r="96" spans="1:229" x14ac:dyDescent="0.25">
      <c r="A96" s="17" t="s">
        <v>158</v>
      </c>
      <c r="B96" s="18" t="s">
        <v>149</v>
      </c>
      <c r="C96" s="46">
        <v>0</v>
      </c>
      <c r="D96" s="20">
        <v>0</v>
      </c>
      <c r="E96" s="47">
        <f t="shared" si="42"/>
        <v>0</v>
      </c>
      <c r="F96" s="48">
        <v>0</v>
      </c>
      <c r="G96" s="23">
        <f t="shared" si="25"/>
        <v>0</v>
      </c>
      <c r="H96" s="26">
        <f t="shared" si="37"/>
        <v>0</v>
      </c>
      <c r="I96" s="25">
        <v>0</v>
      </c>
      <c r="J96" s="22">
        <v>0</v>
      </c>
      <c r="K96" s="22">
        <v>0</v>
      </c>
      <c r="L96" s="26">
        <f t="shared" si="38"/>
        <v>0</v>
      </c>
      <c r="M96" s="26">
        <f t="shared" si="39"/>
        <v>0</v>
      </c>
      <c r="N96" s="26">
        <f t="shared" si="40"/>
        <v>0</v>
      </c>
      <c r="O96" s="30">
        <v>0</v>
      </c>
      <c r="P96" s="28">
        <f t="shared" si="41"/>
        <v>0</v>
      </c>
      <c r="Q96" s="29">
        <v>0</v>
      </c>
      <c r="R96" s="29">
        <v>0</v>
      </c>
      <c r="S96" s="29">
        <v>0</v>
      </c>
    </row>
    <row r="97" spans="1:36" ht="15.75" thickBot="1" x14ac:dyDescent="0.3">
      <c r="A97" s="17">
        <v>380</v>
      </c>
      <c r="B97" s="18" t="s">
        <v>159</v>
      </c>
      <c r="C97" s="46">
        <v>0</v>
      </c>
      <c r="D97" s="20">
        <v>0</v>
      </c>
      <c r="E97" s="47">
        <f t="shared" si="42"/>
        <v>0</v>
      </c>
      <c r="F97" s="49">
        <v>0</v>
      </c>
      <c r="G97" s="23">
        <f t="shared" si="25"/>
        <v>0</v>
      </c>
      <c r="H97" s="26">
        <f t="shared" si="37"/>
        <v>0</v>
      </c>
      <c r="I97" s="25">
        <v>0</v>
      </c>
      <c r="J97" s="22">
        <v>0</v>
      </c>
      <c r="K97" s="22">
        <v>0</v>
      </c>
      <c r="L97" s="26">
        <f t="shared" si="38"/>
        <v>0</v>
      </c>
      <c r="M97" s="26">
        <f t="shared" si="39"/>
        <v>0</v>
      </c>
      <c r="N97" s="26">
        <f t="shared" si="40"/>
        <v>0</v>
      </c>
      <c r="O97" s="30">
        <v>0</v>
      </c>
      <c r="P97" s="28">
        <f t="shared" si="41"/>
        <v>0</v>
      </c>
      <c r="Q97" s="29">
        <v>0</v>
      </c>
      <c r="R97" s="29">
        <v>0</v>
      </c>
      <c r="S97" s="29">
        <v>0</v>
      </c>
    </row>
    <row r="98" spans="1:36" ht="15.75" thickBot="1" x14ac:dyDescent="0.3">
      <c r="A98" s="50">
        <v>6</v>
      </c>
      <c r="B98" s="51" t="s">
        <v>160</v>
      </c>
      <c r="C98" s="52">
        <f>SUM(C100:C104)</f>
        <v>300000</v>
      </c>
      <c r="D98" s="53">
        <f>SUM(D100:D103)</f>
        <v>0</v>
      </c>
      <c r="E98" s="54">
        <f>SUM(E100:E104)</f>
        <v>300000</v>
      </c>
      <c r="F98" s="55">
        <f>SUM(F99:F104)</f>
        <v>-60823</v>
      </c>
      <c r="G98" s="56">
        <f t="shared" si="25"/>
        <v>239177</v>
      </c>
      <c r="H98" s="57">
        <f>SUM(H99:H104)</f>
        <v>239177</v>
      </c>
      <c r="I98" s="57">
        <f>SUM(I100:I103)</f>
        <v>0</v>
      </c>
      <c r="J98" s="57">
        <f>SUM(J99:J104)</f>
        <v>108105</v>
      </c>
      <c r="K98" s="57">
        <f>SUM(K99:K104)</f>
        <v>140392</v>
      </c>
      <c r="L98" s="57">
        <f>SUM(L100:L104)</f>
        <v>98785</v>
      </c>
      <c r="M98" s="57">
        <f>SUM(M100:M104)</f>
        <v>0</v>
      </c>
      <c r="N98" s="57">
        <f>SUM(N100:N104)</f>
        <v>98785</v>
      </c>
      <c r="O98" s="53">
        <f>SUM(O100:O103)</f>
        <v>30000</v>
      </c>
      <c r="P98" s="58">
        <f>SUM(P100:P104)</f>
        <v>110392</v>
      </c>
      <c r="Q98" s="43">
        <f>SUM(K98/H98*1)</f>
        <v>0.58697951726127517</v>
      </c>
      <c r="R98" s="59">
        <f>SUM(J98/G98*1)</f>
        <v>0.45198744026390497</v>
      </c>
      <c r="S98" s="60">
        <f>SUM(K98/G98*1)</f>
        <v>0.58697951726127517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2" customFormat="1" ht="22.5" customHeight="1" x14ac:dyDescent="0.25">
      <c r="A99" s="17">
        <v>612</v>
      </c>
      <c r="B99" s="18" t="s">
        <v>161</v>
      </c>
      <c r="C99" s="31">
        <v>0</v>
      </c>
      <c r="D99" s="61">
        <v>0</v>
      </c>
      <c r="E99" s="47">
        <f>C99+D99</f>
        <v>0</v>
      </c>
      <c r="F99" s="62">
        <v>0</v>
      </c>
      <c r="G99" s="23">
        <f t="shared" si="25"/>
        <v>0</v>
      </c>
      <c r="H99" s="39">
        <v>0</v>
      </c>
      <c r="I99" s="25">
        <v>0</v>
      </c>
      <c r="J99" s="22">
        <v>0</v>
      </c>
      <c r="K99" s="22">
        <v>0</v>
      </c>
      <c r="L99" s="55">
        <f t="shared" ref="L99:L104" si="46">SUM(H99-K99)</f>
        <v>0</v>
      </c>
      <c r="M99" s="26">
        <f t="shared" ref="M99:M104" si="47">SUM(G99-H99)</f>
        <v>0</v>
      </c>
      <c r="N99" s="55">
        <f t="shared" ref="N99:N104" si="48">SUM(-I99+L99+M99)</f>
        <v>0</v>
      </c>
      <c r="O99" s="30">
        <v>0</v>
      </c>
      <c r="P99" s="28">
        <f t="shared" ref="P99:P104" si="49">K99-O99</f>
        <v>0</v>
      </c>
      <c r="Q99" s="29">
        <v>0</v>
      </c>
      <c r="R99" s="29">
        <v>0</v>
      </c>
      <c r="S99" s="29">
        <v>0</v>
      </c>
    </row>
    <row r="100" spans="1:36" s="2" customFormat="1" x14ac:dyDescent="0.25">
      <c r="A100" s="17" t="s">
        <v>162</v>
      </c>
      <c r="B100" s="18" t="s">
        <v>163</v>
      </c>
      <c r="C100" s="31">
        <v>0</v>
      </c>
      <c r="D100" s="20">
        <v>0</v>
      </c>
      <c r="E100" s="47">
        <f t="shared" ref="E100:E104" si="50">C100+D100</f>
        <v>0</v>
      </c>
      <c r="F100" s="23">
        <f>5005+2200</f>
        <v>7205</v>
      </c>
      <c r="G100" s="23">
        <f t="shared" si="25"/>
        <v>7205</v>
      </c>
      <c r="H100" s="39">
        <f>5005+2200</f>
        <v>7205</v>
      </c>
      <c r="I100" s="25">
        <v>0</v>
      </c>
      <c r="J100" s="22">
        <f>5005+2200</f>
        <v>7205</v>
      </c>
      <c r="K100" s="22">
        <f>5005+2200</f>
        <v>7205</v>
      </c>
      <c r="L100" s="26">
        <f t="shared" si="46"/>
        <v>0</v>
      </c>
      <c r="M100" s="26">
        <f t="shared" si="47"/>
        <v>0</v>
      </c>
      <c r="N100" s="55">
        <f t="shared" si="48"/>
        <v>0</v>
      </c>
      <c r="O100" s="30">
        <v>0</v>
      </c>
      <c r="P100" s="28">
        <f t="shared" si="49"/>
        <v>7205</v>
      </c>
      <c r="Q100" s="29">
        <f>SUM(K100/H100*1)</f>
        <v>1</v>
      </c>
      <c r="R100" s="29">
        <f>SUM(J100/G100*1)</f>
        <v>1</v>
      </c>
      <c r="S100" s="29">
        <f>SUM(K100/G100*1)</f>
        <v>1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17" t="s">
        <v>164</v>
      </c>
      <c r="B101" s="18" t="s">
        <v>165</v>
      </c>
      <c r="C101" s="31">
        <v>0</v>
      </c>
      <c r="D101" s="20">
        <v>0</v>
      </c>
      <c r="E101" s="47">
        <f t="shared" si="50"/>
        <v>0</v>
      </c>
      <c r="F101" s="23">
        <f>1250-350</f>
        <v>900</v>
      </c>
      <c r="G101" s="23">
        <f t="shared" si="25"/>
        <v>900</v>
      </c>
      <c r="H101" s="39">
        <f>1250-350</f>
        <v>900</v>
      </c>
      <c r="I101" s="25">
        <v>0</v>
      </c>
      <c r="J101" s="22">
        <f>900</f>
        <v>900</v>
      </c>
      <c r="K101" s="22">
        <f>900</f>
        <v>900</v>
      </c>
      <c r="L101" s="26">
        <f t="shared" si="46"/>
        <v>0</v>
      </c>
      <c r="M101" s="26">
        <f t="shared" si="47"/>
        <v>0</v>
      </c>
      <c r="N101" s="55">
        <f t="shared" si="48"/>
        <v>0</v>
      </c>
      <c r="O101" s="30">
        <v>0</v>
      </c>
      <c r="P101" s="28">
        <f t="shared" si="49"/>
        <v>900</v>
      </c>
      <c r="Q101" s="29">
        <f>SUM(K101/H101*1)</f>
        <v>1</v>
      </c>
      <c r="R101" s="29">
        <f>SUM(J101/G101*1)</f>
        <v>1</v>
      </c>
      <c r="S101" s="29">
        <f>SUM(K101/G101*1)</f>
        <v>1</v>
      </c>
    </row>
    <row r="102" spans="1:36" x14ac:dyDescent="0.25">
      <c r="A102" s="17">
        <v>669</v>
      </c>
      <c r="B102" s="18" t="s">
        <v>166</v>
      </c>
      <c r="C102" s="19">
        <v>100000</v>
      </c>
      <c r="D102" s="20">
        <v>0</v>
      </c>
      <c r="E102" s="47">
        <f t="shared" si="50"/>
        <v>100000</v>
      </c>
      <c r="F102" s="22">
        <v>0</v>
      </c>
      <c r="G102" s="23">
        <f t="shared" si="25"/>
        <v>100000</v>
      </c>
      <c r="H102" s="39">
        <f>100000</f>
        <v>100000</v>
      </c>
      <c r="I102" s="25">
        <v>0</v>
      </c>
      <c r="J102" s="22">
        <f>30000+20000</f>
        <v>50000</v>
      </c>
      <c r="K102" s="22">
        <f>50000</f>
        <v>50000</v>
      </c>
      <c r="L102" s="26">
        <f t="shared" si="46"/>
        <v>50000</v>
      </c>
      <c r="M102" s="26">
        <f t="shared" si="47"/>
        <v>0</v>
      </c>
      <c r="N102" s="55">
        <f t="shared" si="48"/>
        <v>50000</v>
      </c>
      <c r="O102" s="30">
        <f>30000</f>
        <v>30000</v>
      </c>
      <c r="P102" s="28">
        <f t="shared" si="49"/>
        <v>20000</v>
      </c>
      <c r="Q102" s="29">
        <f>SUM(K102/H102*1)</f>
        <v>0.5</v>
      </c>
      <c r="R102" s="29">
        <f>SUM(J102/G102*1)</f>
        <v>0.5</v>
      </c>
      <c r="S102" s="29">
        <f>SUM(K102/G102*1)</f>
        <v>0.5</v>
      </c>
    </row>
    <row r="103" spans="1:36" x14ac:dyDescent="0.25">
      <c r="A103" s="17">
        <v>692</v>
      </c>
      <c r="B103" s="18" t="s">
        <v>167</v>
      </c>
      <c r="C103" s="31">
        <v>0</v>
      </c>
      <c r="D103" s="20">
        <v>0</v>
      </c>
      <c r="E103" s="47">
        <f t="shared" si="50"/>
        <v>0</v>
      </c>
      <c r="F103" s="23">
        <v>0</v>
      </c>
      <c r="G103" s="23">
        <f t="shared" si="25"/>
        <v>0</v>
      </c>
      <c r="H103" s="39">
        <v>0</v>
      </c>
      <c r="I103" s="25">
        <v>0</v>
      </c>
      <c r="J103" s="22">
        <v>0</v>
      </c>
      <c r="K103" s="22">
        <v>0</v>
      </c>
      <c r="L103" s="26">
        <f t="shared" si="46"/>
        <v>0</v>
      </c>
      <c r="M103" s="26">
        <f t="shared" si="47"/>
        <v>0</v>
      </c>
      <c r="N103" s="55">
        <f t="shared" si="48"/>
        <v>0</v>
      </c>
      <c r="O103" s="30">
        <v>0</v>
      </c>
      <c r="P103" s="28">
        <f t="shared" si="49"/>
        <v>0</v>
      </c>
      <c r="Q103" s="29">
        <v>0</v>
      </c>
      <c r="R103" s="29">
        <v>0</v>
      </c>
      <c r="S103" s="29">
        <v>0</v>
      </c>
    </row>
    <row r="104" spans="1:36" ht="15.75" thickBot="1" x14ac:dyDescent="0.3">
      <c r="A104" s="17">
        <v>697</v>
      </c>
      <c r="B104" s="18" t="s">
        <v>168</v>
      </c>
      <c r="C104" s="19">
        <v>200000</v>
      </c>
      <c r="D104" s="20">
        <v>0</v>
      </c>
      <c r="E104" s="47">
        <f t="shared" si="50"/>
        <v>200000</v>
      </c>
      <c r="F104" s="63">
        <f>-117713+48785</f>
        <v>-68928</v>
      </c>
      <c r="G104" s="23">
        <f t="shared" si="25"/>
        <v>131072</v>
      </c>
      <c r="H104" s="39">
        <f>82287+48785</f>
        <v>131072</v>
      </c>
      <c r="I104" s="25">
        <v>0</v>
      </c>
      <c r="J104" s="22">
        <f>50000</f>
        <v>50000</v>
      </c>
      <c r="K104" s="22">
        <f>82287</f>
        <v>82287</v>
      </c>
      <c r="L104" s="26">
        <f t="shared" si="46"/>
        <v>48785</v>
      </c>
      <c r="M104" s="26">
        <f t="shared" si="47"/>
        <v>0</v>
      </c>
      <c r="N104" s="55">
        <f t="shared" si="48"/>
        <v>48785</v>
      </c>
      <c r="O104" s="30">
        <v>0</v>
      </c>
      <c r="P104" s="28">
        <f t="shared" si="49"/>
        <v>82287</v>
      </c>
      <c r="Q104" s="29">
        <f>SUM(K104/H104*1)</f>
        <v>0.62779998779296875</v>
      </c>
      <c r="R104" s="29">
        <f>SUM(J104/G104*1)</f>
        <v>0.3814697265625</v>
      </c>
      <c r="S104" s="29">
        <f>SUM(K104/G104*1)</f>
        <v>0.62779998779296875</v>
      </c>
    </row>
    <row r="105" spans="1:36" ht="15.75" thickBot="1" x14ac:dyDescent="0.3">
      <c r="A105" s="64"/>
      <c r="B105" s="65" t="s">
        <v>169</v>
      </c>
      <c r="C105" s="66">
        <f>C106+C108</f>
        <v>50000</v>
      </c>
      <c r="D105" s="67">
        <v>0</v>
      </c>
      <c r="E105" s="54">
        <f>E106+E108</f>
        <v>50000</v>
      </c>
      <c r="F105" s="68">
        <f>SUM(F106+F108)</f>
        <v>0</v>
      </c>
      <c r="G105" s="69">
        <f t="shared" si="25"/>
        <v>50000</v>
      </c>
      <c r="H105" s="70">
        <f>SUM(H106+H108)</f>
        <v>50000</v>
      </c>
      <c r="I105" s="70">
        <v>0</v>
      </c>
      <c r="J105" s="14">
        <f>SUM(J106+J108)</f>
        <v>46643.98</v>
      </c>
      <c r="K105" s="71">
        <f>SUM(K106+K108)</f>
        <v>49315.48</v>
      </c>
      <c r="L105" s="3">
        <f>SUM(L106+L108)</f>
        <v>684.51999999999543</v>
      </c>
      <c r="M105" s="57">
        <f>M106+M108</f>
        <v>0</v>
      </c>
      <c r="N105" s="57">
        <f>SUM(N106+N108)</f>
        <v>684.51999999999543</v>
      </c>
      <c r="O105" s="53">
        <f>SUM(O106+O108)</f>
        <v>35438.400000000001</v>
      </c>
      <c r="P105" s="72">
        <f>SUM(P106+P108)</f>
        <v>13877.080000000004</v>
      </c>
      <c r="Q105" s="4">
        <f>SUM(K105/H105*1)</f>
        <v>0.98630960000000001</v>
      </c>
      <c r="R105" s="59">
        <f>SUM(J105/G105*1)</f>
        <v>0.93287960000000003</v>
      </c>
      <c r="S105" s="73">
        <f>SUM(K105/G105*1)</f>
        <v>0.98630960000000001</v>
      </c>
    </row>
    <row r="106" spans="1:36" x14ac:dyDescent="0.25">
      <c r="A106" s="50">
        <v>2</v>
      </c>
      <c r="B106" s="51" t="s">
        <v>96</v>
      </c>
      <c r="C106" s="52">
        <v>0</v>
      </c>
      <c r="D106" s="57">
        <v>0</v>
      </c>
      <c r="E106" s="74">
        <v>0</v>
      </c>
      <c r="F106" s="72">
        <v>0</v>
      </c>
      <c r="G106" s="56">
        <f>G107</f>
        <v>0</v>
      </c>
      <c r="H106" s="57">
        <f>H107</f>
        <v>0</v>
      </c>
      <c r="I106" s="57">
        <v>0</v>
      </c>
      <c r="J106" s="57">
        <f>J107</f>
        <v>0</v>
      </c>
      <c r="K106" s="57">
        <f>K107</f>
        <v>0</v>
      </c>
      <c r="L106" s="57">
        <f>SUM(H106-K106)</f>
        <v>0</v>
      </c>
      <c r="M106" s="57">
        <v>0</v>
      </c>
      <c r="N106" s="57">
        <f>SUM(-I106+L106+M106)</f>
        <v>0</v>
      </c>
      <c r="O106" s="53">
        <f>O107</f>
        <v>0</v>
      </c>
      <c r="P106" s="72">
        <f>P107</f>
        <v>0</v>
      </c>
      <c r="Q106" s="57">
        <f>Q107</f>
        <v>0</v>
      </c>
      <c r="R106" s="73">
        <f>R107</f>
        <v>0</v>
      </c>
      <c r="S106" s="73">
        <v>0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75" t="s">
        <v>131</v>
      </c>
      <c r="B107" s="18" t="s">
        <v>132</v>
      </c>
      <c r="C107" s="76">
        <v>0</v>
      </c>
      <c r="D107" s="77">
        <v>0</v>
      </c>
      <c r="E107" s="78">
        <f>C107+D107</f>
        <v>0</v>
      </c>
      <c r="F107" s="77">
        <v>0</v>
      </c>
      <c r="G107" s="77">
        <v>0</v>
      </c>
      <c r="H107" s="79">
        <v>0</v>
      </c>
      <c r="I107" s="25">
        <v>0</v>
      </c>
      <c r="J107" s="22">
        <v>0</v>
      </c>
      <c r="K107" s="72">
        <v>0</v>
      </c>
      <c r="L107" s="77">
        <f>SUM(H107-K107)</f>
        <v>0</v>
      </c>
      <c r="M107" s="6">
        <v>0</v>
      </c>
      <c r="N107" s="77">
        <f>SUM(-I107+L107+M107)</f>
        <v>0</v>
      </c>
      <c r="O107" s="80">
        <v>0</v>
      </c>
      <c r="P107" s="28">
        <f>K107-O107</f>
        <v>0</v>
      </c>
      <c r="Q107" s="29">
        <v>0</v>
      </c>
      <c r="R107" s="29">
        <v>0</v>
      </c>
      <c r="S107" s="29">
        <v>0</v>
      </c>
    </row>
    <row r="108" spans="1:36" x14ac:dyDescent="0.25">
      <c r="A108" s="50">
        <v>3</v>
      </c>
      <c r="B108" s="51" t="s">
        <v>149</v>
      </c>
      <c r="C108" s="52">
        <f>SUM(C110:C115)</f>
        <v>50000</v>
      </c>
      <c r="D108" s="57">
        <v>0</v>
      </c>
      <c r="E108" s="57">
        <f>SUM(E110:E115)</f>
        <v>50000</v>
      </c>
      <c r="F108" s="77">
        <f>SUM(F109:F116)</f>
        <v>0</v>
      </c>
      <c r="G108" s="77">
        <f>SUM(G109:G116)</f>
        <v>50000</v>
      </c>
      <c r="H108" s="81">
        <f>SUM(H109:H116)</f>
        <v>50000</v>
      </c>
      <c r="I108" s="81">
        <v>0</v>
      </c>
      <c r="J108" s="57">
        <f>SUM(J109:J115)</f>
        <v>46643.98</v>
      </c>
      <c r="K108" s="57">
        <f>SUM(K109:K115)</f>
        <v>49315.48</v>
      </c>
      <c r="L108" s="57">
        <f>SUM(L109:L116)</f>
        <v>684.51999999999543</v>
      </c>
      <c r="M108" s="57">
        <f>SUM(M110:M115)</f>
        <v>0</v>
      </c>
      <c r="N108" s="57">
        <f>SUM(N109:N116)</f>
        <v>684.51999999999543</v>
      </c>
      <c r="O108" s="53">
        <f>SUM(O109:O115)</f>
        <v>35438.400000000001</v>
      </c>
      <c r="P108" s="72">
        <f>SUM(P109:P115)</f>
        <v>13877.080000000004</v>
      </c>
      <c r="Q108" s="82">
        <f>SUM(K108/H108*1)</f>
        <v>0.98630960000000001</v>
      </c>
      <c r="R108" s="73">
        <f>SUM(J108/G108*1)</f>
        <v>0.93287960000000003</v>
      </c>
      <c r="S108" s="73">
        <f>SUM(K108/G108*1)</f>
        <v>0.98630960000000001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17" t="s">
        <v>150</v>
      </c>
      <c r="B109" s="18" t="s">
        <v>151</v>
      </c>
      <c r="C109" s="46">
        <v>0</v>
      </c>
      <c r="D109" s="83">
        <v>0</v>
      </c>
      <c r="E109" s="47">
        <f>C109+D109</f>
        <v>0</v>
      </c>
      <c r="F109" s="84">
        <f>1700-362</f>
        <v>1338</v>
      </c>
      <c r="G109" s="84">
        <f t="shared" ref="G109:G116" si="51">SUM(E109+F109)</f>
        <v>1338</v>
      </c>
      <c r="H109" s="85">
        <f>1700-362</f>
        <v>1338</v>
      </c>
      <c r="I109" s="62">
        <v>0</v>
      </c>
      <c r="J109" s="86">
        <f>1337.5</f>
        <v>1337.5</v>
      </c>
      <c r="K109" s="22">
        <f>1337.5</f>
        <v>1337.5</v>
      </c>
      <c r="L109" s="48">
        <f t="shared" ref="L109:L116" si="52">SUM(H109-K109)</f>
        <v>0.5</v>
      </c>
      <c r="M109" s="87">
        <f>SUM(G109-H109)</f>
        <v>0</v>
      </c>
      <c r="N109" s="84">
        <f t="shared" ref="N109:N116" si="53">SUM(-I109+L109+M109)</f>
        <v>0.5</v>
      </c>
      <c r="O109" s="88">
        <v>0</v>
      </c>
      <c r="P109" s="89">
        <f t="shared" ref="P109:P116" si="54">K109-O109</f>
        <v>1337.5</v>
      </c>
      <c r="Q109" s="90">
        <f>SUM(K109/H109*1)</f>
        <v>0.99962630792227203</v>
      </c>
      <c r="R109" s="82">
        <f>SUM(J109/G109*1)</f>
        <v>0.99962630792227203</v>
      </c>
      <c r="S109" s="91">
        <f>SUM(K109/G109*1)</f>
        <v>0.99962630792227203</v>
      </c>
    </row>
    <row r="110" spans="1:36" x14ac:dyDescent="0.25">
      <c r="A110" s="17">
        <v>314</v>
      </c>
      <c r="B110" s="18" t="s">
        <v>152</v>
      </c>
      <c r="C110" s="46">
        <v>0</v>
      </c>
      <c r="D110" s="83">
        <v>0</v>
      </c>
      <c r="E110" s="47">
        <f t="shared" ref="E110:E115" si="55">C110+D110</f>
        <v>0</v>
      </c>
      <c r="F110" s="48">
        <v>0</v>
      </c>
      <c r="G110" s="48">
        <f t="shared" si="51"/>
        <v>0</v>
      </c>
      <c r="H110" s="92">
        <v>0</v>
      </c>
      <c r="I110" s="23">
        <v>0</v>
      </c>
      <c r="J110" s="93">
        <v>0</v>
      </c>
      <c r="K110" s="22">
        <v>0</v>
      </c>
      <c r="L110" s="48">
        <f t="shared" si="52"/>
        <v>0</v>
      </c>
      <c r="M110" s="87"/>
      <c r="N110" s="48">
        <f t="shared" si="53"/>
        <v>0</v>
      </c>
      <c r="O110" s="30">
        <v>0</v>
      </c>
      <c r="P110" s="27">
        <f t="shared" si="54"/>
        <v>0</v>
      </c>
      <c r="Q110" s="94">
        <v>0</v>
      </c>
      <c r="R110" s="29">
        <v>0</v>
      </c>
      <c r="S110" s="95">
        <v>0</v>
      </c>
    </row>
    <row r="111" spans="1:36" x14ac:dyDescent="0.25">
      <c r="A111" s="17">
        <v>320</v>
      </c>
      <c r="B111" s="18" t="s">
        <v>153</v>
      </c>
      <c r="C111" s="46">
        <v>0</v>
      </c>
      <c r="D111" s="83">
        <v>0</v>
      </c>
      <c r="E111" s="47">
        <f t="shared" si="55"/>
        <v>0</v>
      </c>
      <c r="F111" s="48">
        <v>0</v>
      </c>
      <c r="G111" s="48">
        <f t="shared" si="51"/>
        <v>0</v>
      </c>
      <c r="H111" s="92">
        <v>0</v>
      </c>
      <c r="I111" s="23">
        <v>0</v>
      </c>
      <c r="J111" s="93">
        <v>0</v>
      </c>
      <c r="K111" s="22">
        <v>0</v>
      </c>
      <c r="L111" s="48">
        <f t="shared" si="52"/>
        <v>0</v>
      </c>
      <c r="M111" s="87">
        <f t="shared" ref="M111:M116" si="56">SUM(G111-H111)</f>
        <v>0</v>
      </c>
      <c r="N111" s="48">
        <f t="shared" si="53"/>
        <v>0</v>
      </c>
      <c r="O111" s="30">
        <v>0</v>
      </c>
      <c r="P111" s="27">
        <f t="shared" si="54"/>
        <v>0</v>
      </c>
      <c r="Q111" s="94">
        <v>0</v>
      </c>
      <c r="R111" s="29">
        <v>0</v>
      </c>
      <c r="S111" s="95">
        <v>0</v>
      </c>
    </row>
    <row r="112" spans="1:36" x14ac:dyDescent="0.25">
      <c r="A112" s="17" t="s">
        <v>154</v>
      </c>
      <c r="B112" s="18" t="s">
        <v>155</v>
      </c>
      <c r="C112" s="46">
        <v>0</v>
      </c>
      <c r="D112" s="83">
        <v>0</v>
      </c>
      <c r="E112" s="47">
        <f t="shared" si="55"/>
        <v>0</v>
      </c>
      <c r="F112" s="48">
        <v>0</v>
      </c>
      <c r="G112" s="48">
        <f t="shared" si="51"/>
        <v>0</v>
      </c>
      <c r="H112" s="92">
        <v>0</v>
      </c>
      <c r="I112" s="23">
        <v>0</v>
      </c>
      <c r="J112" s="93">
        <v>0</v>
      </c>
      <c r="K112" s="22">
        <v>0</v>
      </c>
      <c r="L112" s="48">
        <f t="shared" si="52"/>
        <v>0</v>
      </c>
      <c r="M112" s="87">
        <f t="shared" si="56"/>
        <v>0</v>
      </c>
      <c r="N112" s="48">
        <f t="shared" si="53"/>
        <v>0</v>
      </c>
      <c r="O112" s="30">
        <v>0</v>
      </c>
      <c r="P112" s="27">
        <f t="shared" si="54"/>
        <v>0</v>
      </c>
      <c r="Q112" s="94">
        <v>0</v>
      </c>
      <c r="R112" s="29">
        <v>0</v>
      </c>
      <c r="S112" s="95">
        <v>0</v>
      </c>
    </row>
    <row r="113" spans="1:16379" x14ac:dyDescent="0.25">
      <c r="A113" s="17" t="s">
        <v>156</v>
      </c>
      <c r="B113" s="18" t="s">
        <v>157</v>
      </c>
      <c r="C113" s="46">
        <v>0</v>
      </c>
      <c r="D113" s="83">
        <v>0</v>
      </c>
      <c r="E113" s="47">
        <f t="shared" si="55"/>
        <v>0</v>
      </c>
      <c r="F113" s="48">
        <v>0</v>
      </c>
      <c r="G113" s="48">
        <f t="shared" si="51"/>
        <v>0</v>
      </c>
      <c r="H113" s="92">
        <v>0</v>
      </c>
      <c r="I113" s="23">
        <v>0</v>
      </c>
      <c r="J113" s="93">
        <v>0</v>
      </c>
      <c r="K113" s="22">
        <v>0</v>
      </c>
      <c r="L113" s="48">
        <f t="shared" si="52"/>
        <v>0</v>
      </c>
      <c r="M113" s="87">
        <f t="shared" si="56"/>
        <v>0</v>
      </c>
      <c r="N113" s="48">
        <f t="shared" si="53"/>
        <v>0</v>
      </c>
      <c r="O113" s="30">
        <v>0</v>
      </c>
      <c r="P113" s="27">
        <f t="shared" si="54"/>
        <v>0</v>
      </c>
      <c r="Q113" s="94">
        <v>0</v>
      </c>
      <c r="R113" s="29">
        <v>0</v>
      </c>
      <c r="S113" s="95">
        <v>0</v>
      </c>
    </row>
    <row r="114" spans="1:16379" x14ac:dyDescent="0.25">
      <c r="A114" s="17" t="s">
        <v>158</v>
      </c>
      <c r="B114" s="18" t="s">
        <v>149</v>
      </c>
      <c r="C114" s="46">
        <v>0</v>
      </c>
      <c r="D114" s="83">
        <v>0</v>
      </c>
      <c r="E114" s="47">
        <f t="shared" si="55"/>
        <v>0</v>
      </c>
      <c r="F114" s="48">
        <f>4410</f>
        <v>4410</v>
      </c>
      <c r="G114" s="48">
        <f t="shared" si="51"/>
        <v>4410</v>
      </c>
      <c r="H114" s="92">
        <f>4410</f>
        <v>4410</v>
      </c>
      <c r="I114" s="23">
        <v>0</v>
      </c>
      <c r="J114" s="93">
        <f>2709.78</f>
        <v>2709.78</v>
      </c>
      <c r="K114" s="22">
        <f>3726.28</f>
        <v>3726.28</v>
      </c>
      <c r="L114" s="48">
        <f t="shared" si="52"/>
        <v>683.7199999999998</v>
      </c>
      <c r="M114" s="87">
        <f t="shared" si="56"/>
        <v>0</v>
      </c>
      <c r="N114" s="48">
        <f t="shared" si="53"/>
        <v>683.7199999999998</v>
      </c>
      <c r="O114" s="30">
        <v>0</v>
      </c>
      <c r="P114" s="27">
        <f t="shared" si="54"/>
        <v>3726.28</v>
      </c>
      <c r="Q114" s="94">
        <v>0</v>
      </c>
      <c r="R114" s="29">
        <v>0</v>
      </c>
      <c r="S114" s="95">
        <v>0</v>
      </c>
    </row>
    <row r="115" spans="1:16379" x14ac:dyDescent="0.25">
      <c r="A115" s="17">
        <v>380</v>
      </c>
      <c r="B115" s="18" t="s">
        <v>159</v>
      </c>
      <c r="C115" s="46">
        <v>50000</v>
      </c>
      <c r="D115" s="83">
        <v>0</v>
      </c>
      <c r="E115" s="47">
        <f t="shared" si="55"/>
        <v>50000</v>
      </c>
      <c r="F115" s="48">
        <f>-3355-2393</f>
        <v>-5748</v>
      </c>
      <c r="G115" s="48">
        <f t="shared" si="51"/>
        <v>44252</v>
      </c>
      <c r="H115" s="92">
        <f>46645-2393</f>
        <v>44252</v>
      </c>
      <c r="I115" s="23">
        <v>0</v>
      </c>
      <c r="J115" s="93">
        <f>42468.3+128.4</f>
        <v>42596.700000000004</v>
      </c>
      <c r="K115" s="22">
        <f>42654.8+1596.9</f>
        <v>44251.700000000004</v>
      </c>
      <c r="L115" s="48">
        <f t="shared" si="52"/>
        <v>0.29999999999563443</v>
      </c>
      <c r="M115" s="87">
        <f t="shared" si="56"/>
        <v>0</v>
      </c>
      <c r="N115" s="48">
        <f t="shared" si="53"/>
        <v>0.29999999999563443</v>
      </c>
      <c r="O115" s="30">
        <v>35438.400000000001</v>
      </c>
      <c r="P115" s="27">
        <f t="shared" si="54"/>
        <v>8813.3000000000029</v>
      </c>
      <c r="Q115" s="94">
        <f>SUM(K115/H115*1)</f>
        <v>0.99999322064539464</v>
      </c>
      <c r="R115" s="29">
        <f>SUM(J115/G115*1)</f>
        <v>0.96259378107204208</v>
      </c>
      <c r="S115" s="95">
        <f>SUM(K115/G115*1)</f>
        <v>0.99999322064539464</v>
      </c>
    </row>
    <row r="116" spans="1:16379" x14ac:dyDescent="0.25">
      <c r="A116" s="96">
        <v>399</v>
      </c>
      <c r="B116" s="97" t="s">
        <v>159</v>
      </c>
      <c r="C116" s="98">
        <v>0</v>
      </c>
      <c r="D116" s="99">
        <v>0</v>
      </c>
      <c r="E116" s="98"/>
      <c r="F116" s="99">
        <f>1655-1655</f>
        <v>0</v>
      </c>
      <c r="G116" s="99">
        <f t="shared" si="51"/>
        <v>0</v>
      </c>
      <c r="H116" s="100">
        <f>1655-1655</f>
        <v>0</v>
      </c>
      <c r="I116" s="100">
        <v>0</v>
      </c>
      <c r="J116" s="101">
        <v>0</v>
      </c>
      <c r="K116" s="101">
        <v>0</v>
      </c>
      <c r="L116" s="99">
        <f t="shared" si="52"/>
        <v>0</v>
      </c>
      <c r="M116" s="102">
        <f t="shared" si="56"/>
        <v>0</v>
      </c>
      <c r="N116" s="99">
        <f t="shared" si="53"/>
        <v>0</v>
      </c>
      <c r="O116" s="103">
        <v>0</v>
      </c>
      <c r="P116" s="104">
        <f t="shared" si="54"/>
        <v>0</v>
      </c>
      <c r="Q116" s="105">
        <v>0</v>
      </c>
      <c r="R116" s="105">
        <v>0</v>
      </c>
      <c r="S116" s="105">
        <v>0</v>
      </c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  <c r="XEU116" s="1"/>
      <c r="XEV116" s="1"/>
      <c r="XEW116" s="1"/>
      <c r="XEX116" s="1"/>
      <c r="XEY116" s="1"/>
    </row>
    <row r="117" spans="1:16379" x14ac:dyDescent="0.25">
      <c r="J117" s="108"/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Juan Pablo Rodriguez</cp:lastModifiedBy>
  <cp:lastPrinted>2022-05-06T19:37:01Z</cp:lastPrinted>
  <dcterms:created xsi:type="dcterms:W3CDTF">2022-05-06T19:34:33Z</dcterms:created>
  <dcterms:modified xsi:type="dcterms:W3CDTF">2022-05-16T13:47:52Z</dcterms:modified>
</cp:coreProperties>
</file>