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odriguez\Desktop\2022\web\marzo 2022\"/>
    </mc:Choice>
  </mc:AlternateContent>
  <xr:revisionPtr revIDLastSave="0" documentId="8_{A3594E8B-0465-44E8-A8A5-34B935677CA4}" xr6:coauthVersionLast="47" xr6:coauthVersionMax="47" xr10:uidLastSave="{00000000-0000-0000-0000-000000000000}"/>
  <bookViews>
    <workbookView xWindow="-120" yWindow="-120" windowWidth="24240" windowHeight="13140" xr2:uid="{650DB0E9-244E-4DC3-B8B9-5950EF95CB0F}"/>
  </bookViews>
  <sheets>
    <sheet name="EJECUCION PRESUPUESTARIA ABRIL 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5" i="1" l="1"/>
  <c r="P116" i="1"/>
  <c r="L116" i="1"/>
  <c r="H116" i="1"/>
  <c r="G116" i="1"/>
  <c r="M116" i="1" s="1"/>
  <c r="F116" i="1"/>
  <c r="P115" i="1"/>
  <c r="L115" i="1"/>
  <c r="K115" i="1"/>
  <c r="S115" i="1" s="1"/>
  <c r="J115" i="1"/>
  <c r="H115" i="1"/>
  <c r="Q115" i="1" s="1"/>
  <c r="F115" i="1"/>
  <c r="G115" i="1" s="1"/>
  <c r="E115" i="1"/>
  <c r="K114" i="1"/>
  <c r="P114" i="1" s="1"/>
  <c r="J114" i="1"/>
  <c r="H114" i="1"/>
  <c r="L114" i="1" s="1"/>
  <c r="F114" i="1"/>
  <c r="E114" i="1"/>
  <c r="G114" i="1" s="1"/>
  <c r="M114" i="1" s="1"/>
  <c r="P113" i="1"/>
  <c r="L113" i="1"/>
  <c r="G113" i="1"/>
  <c r="M113" i="1" s="1"/>
  <c r="E113" i="1"/>
  <c r="P112" i="1"/>
  <c r="L112" i="1"/>
  <c r="G112" i="1"/>
  <c r="M112" i="1" s="1"/>
  <c r="N112" i="1" s="1"/>
  <c r="E112" i="1"/>
  <c r="E108" i="1" s="1"/>
  <c r="E105" i="1" s="1"/>
  <c r="P111" i="1"/>
  <c r="L111" i="1"/>
  <c r="E111" i="1"/>
  <c r="G111" i="1" s="1"/>
  <c r="M111" i="1" s="1"/>
  <c r="P110" i="1"/>
  <c r="N110" i="1"/>
  <c r="L110" i="1"/>
  <c r="L108" i="1" s="1"/>
  <c r="G110" i="1"/>
  <c r="E110" i="1"/>
  <c r="P109" i="1"/>
  <c r="P108" i="1" s="1"/>
  <c r="L109" i="1"/>
  <c r="K109" i="1"/>
  <c r="J109" i="1"/>
  <c r="H109" i="1"/>
  <c r="Q109" i="1" s="1"/>
  <c r="F109" i="1"/>
  <c r="F108" i="1" s="1"/>
  <c r="F105" i="1" s="1"/>
  <c r="E109" i="1"/>
  <c r="G109" i="1" s="1"/>
  <c r="O108" i="1"/>
  <c r="C108" i="1"/>
  <c r="C105" i="1" s="1"/>
  <c r="P107" i="1"/>
  <c r="P106" i="1" s="1"/>
  <c r="N107" i="1"/>
  <c r="L107" i="1"/>
  <c r="E107" i="1"/>
  <c r="R106" i="1"/>
  <c r="Q106" i="1"/>
  <c r="O106" i="1"/>
  <c r="O105" i="1" s="1"/>
  <c r="K106" i="1"/>
  <c r="J106" i="1"/>
  <c r="H106" i="1"/>
  <c r="L106" i="1" s="1"/>
  <c r="G106" i="1"/>
  <c r="Q104" i="1"/>
  <c r="P104" i="1"/>
  <c r="L104" i="1"/>
  <c r="K104" i="1"/>
  <c r="J104" i="1"/>
  <c r="R104" i="1" s="1"/>
  <c r="H104" i="1"/>
  <c r="F104" i="1"/>
  <c r="E104" i="1"/>
  <c r="G104" i="1" s="1"/>
  <c r="P103" i="1"/>
  <c r="L103" i="1"/>
  <c r="E103" i="1"/>
  <c r="G103" i="1" s="1"/>
  <c r="M103" i="1" s="1"/>
  <c r="R102" i="1"/>
  <c r="O102" i="1"/>
  <c r="K102" i="1"/>
  <c r="S102" i="1" s="1"/>
  <c r="J102" i="1"/>
  <c r="H102" i="1"/>
  <c r="L102" i="1" s="1"/>
  <c r="G102" i="1"/>
  <c r="M102" i="1" s="1"/>
  <c r="E102" i="1"/>
  <c r="Q101" i="1"/>
  <c r="P101" i="1"/>
  <c r="L101" i="1"/>
  <c r="K101" i="1"/>
  <c r="J101" i="1"/>
  <c r="R101" i="1" s="1"/>
  <c r="H101" i="1"/>
  <c r="F101" i="1"/>
  <c r="E101" i="1"/>
  <c r="G101" i="1" s="1"/>
  <c r="P100" i="1"/>
  <c r="K100" i="1"/>
  <c r="L100" i="1" s="1"/>
  <c r="J100" i="1"/>
  <c r="J98" i="1" s="1"/>
  <c r="H100" i="1"/>
  <c r="F100" i="1"/>
  <c r="F98" i="1" s="1"/>
  <c r="E100" i="1"/>
  <c r="G100" i="1" s="1"/>
  <c r="M100" i="1" s="1"/>
  <c r="P99" i="1"/>
  <c r="N99" i="1"/>
  <c r="M99" i="1"/>
  <c r="L99" i="1"/>
  <c r="G99" i="1"/>
  <c r="E99" i="1"/>
  <c r="O98" i="1"/>
  <c r="I98" i="1"/>
  <c r="H98" i="1"/>
  <c r="D98" i="1"/>
  <c r="C98" i="1"/>
  <c r="P97" i="1"/>
  <c r="L97" i="1"/>
  <c r="H97" i="1"/>
  <c r="M97" i="1" s="1"/>
  <c r="G97" i="1"/>
  <c r="E97" i="1"/>
  <c r="P96" i="1"/>
  <c r="G96" i="1"/>
  <c r="E96" i="1"/>
  <c r="K95" i="1"/>
  <c r="S95" i="1" s="1"/>
  <c r="J95" i="1"/>
  <c r="H95" i="1"/>
  <c r="L95" i="1" s="1"/>
  <c r="F95" i="1"/>
  <c r="E95" i="1"/>
  <c r="G95" i="1" s="1"/>
  <c r="P94" i="1"/>
  <c r="E94" i="1"/>
  <c r="G94" i="1" s="1"/>
  <c r="P93" i="1"/>
  <c r="G93" i="1"/>
  <c r="E93" i="1"/>
  <c r="P92" i="1"/>
  <c r="E92" i="1"/>
  <c r="E90" i="1" s="1"/>
  <c r="G90" i="1" s="1"/>
  <c r="P91" i="1"/>
  <c r="L91" i="1"/>
  <c r="H91" i="1"/>
  <c r="M91" i="1" s="1"/>
  <c r="G91" i="1"/>
  <c r="E91" i="1"/>
  <c r="O90" i="1"/>
  <c r="K90" i="1"/>
  <c r="J90" i="1"/>
  <c r="I90" i="1"/>
  <c r="F90" i="1"/>
  <c r="D90" i="1"/>
  <c r="C90" i="1"/>
  <c r="P89" i="1"/>
  <c r="M89" i="1"/>
  <c r="L89" i="1"/>
  <c r="N89" i="1" s="1"/>
  <c r="G89" i="1"/>
  <c r="F89" i="1"/>
  <c r="E89" i="1"/>
  <c r="O88" i="1"/>
  <c r="K88" i="1"/>
  <c r="P88" i="1" s="1"/>
  <c r="J88" i="1"/>
  <c r="R88" i="1" s="1"/>
  <c r="H88" i="1"/>
  <c r="G88" i="1"/>
  <c r="S88" i="1" s="1"/>
  <c r="F88" i="1"/>
  <c r="E88" i="1"/>
  <c r="P87" i="1"/>
  <c r="L87" i="1"/>
  <c r="H87" i="1"/>
  <c r="G87" i="1"/>
  <c r="M87" i="1" s="1"/>
  <c r="N87" i="1" s="1"/>
  <c r="F87" i="1"/>
  <c r="E87" i="1"/>
  <c r="Q86" i="1"/>
  <c r="P86" i="1"/>
  <c r="O86" i="1"/>
  <c r="K86" i="1"/>
  <c r="J86" i="1"/>
  <c r="R86" i="1" s="1"/>
  <c r="H86" i="1"/>
  <c r="L86" i="1" s="1"/>
  <c r="N86" i="1" s="1"/>
  <c r="G86" i="1"/>
  <c r="S86" i="1" s="1"/>
  <c r="F86" i="1"/>
  <c r="E86" i="1"/>
  <c r="O85" i="1"/>
  <c r="K85" i="1"/>
  <c r="P85" i="1" s="1"/>
  <c r="J85" i="1"/>
  <c r="R85" i="1" s="1"/>
  <c r="H85" i="1"/>
  <c r="L85" i="1" s="1"/>
  <c r="G85" i="1"/>
  <c r="M85" i="1" s="1"/>
  <c r="F85" i="1"/>
  <c r="E85" i="1"/>
  <c r="Q84" i="1"/>
  <c r="L84" i="1"/>
  <c r="N84" i="1" s="1"/>
  <c r="K84" i="1"/>
  <c r="S84" i="1" s="1"/>
  <c r="J84" i="1"/>
  <c r="R84" i="1" s="1"/>
  <c r="H84" i="1"/>
  <c r="G84" i="1"/>
  <c r="M84" i="1" s="1"/>
  <c r="F84" i="1"/>
  <c r="E84" i="1"/>
  <c r="O83" i="1"/>
  <c r="K83" i="1"/>
  <c r="P83" i="1" s="1"/>
  <c r="J83" i="1"/>
  <c r="H83" i="1"/>
  <c r="Q83" i="1" s="1"/>
  <c r="F83" i="1"/>
  <c r="E83" i="1"/>
  <c r="G83" i="1" s="1"/>
  <c r="Q82" i="1"/>
  <c r="O82" i="1"/>
  <c r="P82" i="1" s="1"/>
  <c r="L82" i="1"/>
  <c r="K82" i="1"/>
  <c r="S82" i="1" s="1"/>
  <c r="J82" i="1"/>
  <c r="R82" i="1" s="1"/>
  <c r="H82" i="1"/>
  <c r="G82" i="1"/>
  <c r="M82" i="1" s="1"/>
  <c r="F82" i="1"/>
  <c r="E82" i="1"/>
  <c r="O81" i="1"/>
  <c r="L81" i="1"/>
  <c r="K81" i="1"/>
  <c r="J81" i="1"/>
  <c r="H81" i="1"/>
  <c r="F81" i="1"/>
  <c r="E81" i="1"/>
  <c r="G81" i="1" s="1"/>
  <c r="M81" i="1" s="1"/>
  <c r="N81" i="1" s="1"/>
  <c r="P80" i="1"/>
  <c r="O80" i="1"/>
  <c r="M80" i="1"/>
  <c r="K80" i="1"/>
  <c r="S80" i="1" s="1"/>
  <c r="J80" i="1"/>
  <c r="H80" i="1"/>
  <c r="G80" i="1"/>
  <c r="R80" i="1" s="1"/>
  <c r="F80" i="1"/>
  <c r="E80" i="1"/>
  <c r="O79" i="1"/>
  <c r="K79" i="1"/>
  <c r="J79" i="1"/>
  <c r="H79" i="1"/>
  <c r="L79" i="1" s="1"/>
  <c r="F79" i="1"/>
  <c r="E79" i="1"/>
  <c r="G79" i="1" s="1"/>
  <c r="K78" i="1"/>
  <c r="Q78" i="1" s="1"/>
  <c r="J78" i="1"/>
  <c r="H78" i="1"/>
  <c r="L78" i="1" s="1"/>
  <c r="G78" i="1"/>
  <c r="M78" i="1" s="1"/>
  <c r="F78" i="1"/>
  <c r="E78" i="1"/>
  <c r="P77" i="1"/>
  <c r="L77" i="1"/>
  <c r="F77" i="1"/>
  <c r="E77" i="1"/>
  <c r="G77" i="1" s="1"/>
  <c r="M77" i="1" s="1"/>
  <c r="P76" i="1"/>
  <c r="O76" i="1"/>
  <c r="M76" i="1"/>
  <c r="K76" i="1"/>
  <c r="S76" i="1" s="1"/>
  <c r="J76" i="1"/>
  <c r="R76" i="1" s="1"/>
  <c r="H76" i="1"/>
  <c r="G76" i="1"/>
  <c r="E76" i="1"/>
  <c r="Q75" i="1"/>
  <c r="P75" i="1"/>
  <c r="O75" i="1"/>
  <c r="M75" i="1"/>
  <c r="K75" i="1"/>
  <c r="S75" i="1" s="1"/>
  <c r="J75" i="1"/>
  <c r="R75" i="1" s="1"/>
  <c r="H75" i="1"/>
  <c r="L75" i="1" s="1"/>
  <c r="N75" i="1" s="1"/>
  <c r="G75" i="1"/>
  <c r="F75" i="1"/>
  <c r="E75" i="1"/>
  <c r="P74" i="1"/>
  <c r="L74" i="1"/>
  <c r="K74" i="1"/>
  <c r="Q74" i="1" s="1"/>
  <c r="J74" i="1"/>
  <c r="H74" i="1"/>
  <c r="F74" i="1"/>
  <c r="E74" i="1"/>
  <c r="G74" i="1" s="1"/>
  <c r="P73" i="1"/>
  <c r="O73" i="1"/>
  <c r="L73" i="1"/>
  <c r="N73" i="1" s="1"/>
  <c r="K73" i="1"/>
  <c r="S73" i="1" s="1"/>
  <c r="J73" i="1"/>
  <c r="R73" i="1" s="1"/>
  <c r="H73" i="1"/>
  <c r="G73" i="1"/>
  <c r="M73" i="1" s="1"/>
  <c r="F73" i="1"/>
  <c r="E73" i="1"/>
  <c r="S72" i="1"/>
  <c r="P72" i="1"/>
  <c r="M72" i="1"/>
  <c r="K72" i="1"/>
  <c r="J72" i="1"/>
  <c r="H72" i="1"/>
  <c r="Q72" i="1" s="1"/>
  <c r="G72" i="1"/>
  <c r="R72" i="1" s="1"/>
  <c r="F72" i="1"/>
  <c r="E72" i="1"/>
  <c r="P71" i="1"/>
  <c r="L71" i="1"/>
  <c r="E71" i="1"/>
  <c r="G71" i="1" s="1"/>
  <c r="M71" i="1" s="1"/>
  <c r="O70" i="1"/>
  <c r="K70" i="1"/>
  <c r="S70" i="1" s="1"/>
  <c r="J70" i="1"/>
  <c r="H70" i="1"/>
  <c r="L70" i="1" s="1"/>
  <c r="F70" i="1"/>
  <c r="E70" i="1"/>
  <c r="G70" i="1" s="1"/>
  <c r="M70" i="1" s="1"/>
  <c r="P69" i="1"/>
  <c r="L69" i="1"/>
  <c r="G69" i="1"/>
  <c r="M69" i="1" s="1"/>
  <c r="N69" i="1" s="1"/>
  <c r="E69" i="1"/>
  <c r="P68" i="1"/>
  <c r="K68" i="1"/>
  <c r="J68" i="1"/>
  <c r="R68" i="1" s="1"/>
  <c r="H68" i="1"/>
  <c r="Q68" i="1" s="1"/>
  <c r="F68" i="1"/>
  <c r="G68" i="1" s="1"/>
  <c r="M68" i="1" s="1"/>
  <c r="E68" i="1"/>
  <c r="K67" i="1"/>
  <c r="S67" i="1" s="1"/>
  <c r="J67" i="1"/>
  <c r="H67" i="1"/>
  <c r="L67" i="1" s="1"/>
  <c r="F67" i="1"/>
  <c r="E67" i="1"/>
  <c r="G67" i="1" s="1"/>
  <c r="Q66" i="1"/>
  <c r="P66" i="1"/>
  <c r="L66" i="1"/>
  <c r="H66" i="1"/>
  <c r="G66" i="1"/>
  <c r="S66" i="1" s="1"/>
  <c r="F66" i="1"/>
  <c r="E66" i="1"/>
  <c r="O65" i="1"/>
  <c r="L65" i="1"/>
  <c r="N65" i="1" s="1"/>
  <c r="K65" i="1"/>
  <c r="S65" i="1" s="1"/>
  <c r="J65" i="1"/>
  <c r="R65" i="1" s="1"/>
  <c r="H65" i="1"/>
  <c r="F65" i="1"/>
  <c r="E65" i="1"/>
  <c r="G65" i="1" s="1"/>
  <c r="M65" i="1" s="1"/>
  <c r="P64" i="1"/>
  <c r="O64" i="1"/>
  <c r="M64" i="1"/>
  <c r="K64" i="1"/>
  <c r="S64" i="1" s="1"/>
  <c r="J64" i="1"/>
  <c r="R64" i="1" s="1"/>
  <c r="H64" i="1"/>
  <c r="G64" i="1"/>
  <c r="F64" i="1"/>
  <c r="E64" i="1"/>
  <c r="P63" i="1"/>
  <c r="L63" i="1"/>
  <c r="H63" i="1"/>
  <c r="F63" i="1"/>
  <c r="E63" i="1"/>
  <c r="G63" i="1" s="1"/>
  <c r="P62" i="1"/>
  <c r="O62" i="1"/>
  <c r="L62" i="1"/>
  <c r="K62" i="1"/>
  <c r="S62" i="1" s="1"/>
  <c r="J62" i="1"/>
  <c r="R62" i="1" s="1"/>
  <c r="H62" i="1"/>
  <c r="G62" i="1"/>
  <c r="M62" i="1" s="1"/>
  <c r="E62" i="1"/>
  <c r="O61" i="1"/>
  <c r="K61" i="1"/>
  <c r="J61" i="1"/>
  <c r="H61" i="1"/>
  <c r="L61" i="1" s="1"/>
  <c r="E61" i="1"/>
  <c r="G61" i="1" s="1"/>
  <c r="O60" i="1"/>
  <c r="L60" i="1"/>
  <c r="K60" i="1"/>
  <c r="S60" i="1" s="1"/>
  <c r="J60" i="1"/>
  <c r="H60" i="1"/>
  <c r="F60" i="1"/>
  <c r="E60" i="1"/>
  <c r="G60" i="1" s="1"/>
  <c r="O59" i="1"/>
  <c r="P59" i="1" s="1"/>
  <c r="K59" i="1"/>
  <c r="J59" i="1"/>
  <c r="H59" i="1"/>
  <c r="L59" i="1" s="1"/>
  <c r="F59" i="1"/>
  <c r="E59" i="1"/>
  <c r="G59" i="1" s="1"/>
  <c r="M59" i="1" s="1"/>
  <c r="P58" i="1"/>
  <c r="L58" i="1"/>
  <c r="G58" i="1"/>
  <c r="M58" i="1" s="1"/>
  <c r="E58" i="1"/>
  <c r="O57" i="1"/>
  <c r="K57" i="1"/>
  <c r="S57" i="1" s="1"/>
  <c r="J57" i="1"/>
  <c r="R57" i="1" s="1"/>
  <c r="H57" i="1"/>
  <c r="Q57" i="1" s="1"/>
  <c r="F57" i="1"/>
  <c r="E57" i="1"/>
  <c r="G57" i="1" s="1"/>
  <c r="M57" i="1" s="1"/>
  <c r="O56" i="1"/>
  <c r="O55" i="1" s="1"/>
  <c r="L56" i="1"/>
  <c r="K56" i="1"/>
  <c r="Q56" i="1" s="1"/>
  <c r="J56" i="1"/>
  <c r="H56" i="1"/>
  <c r="F56" i="1"/>
  <c r="F55" i="1" s="1"/>
  <c r="E56" i="1"/>
  <c r="G56" i="1" s="1"/>
  <c r="J55" i="1"/>
  <c r="I55" i="1"/>
  <c r="D55" i="1"/>
  <c r="C55" i="1"/>
  <c r="P54" i="1"/>
  <c r="L54" i="1"/>
  <c r="F54" i="1"/>
  <c r="E54" i="1"/>
  <c r="G54" i="1" s="1"/>
  <c r="M54" i="1" s="1"/>
  <c r="N54" i="1" s="1"/>
  <c r="P53" i="1"/>
  <c r="O53" i="1"/>
  <c r="K53" i="1"/>
  <c r="J53" i="1"/>
  <c r="H53" i="1"/>
  <c r="Q53" i="1" s="1"/>
  <c r="F53" i="1"/>
  <c r="E53" i="1"/>
  <c r="G53" i="1" s="1"/>
  <c r="P52" i="1"/>
  <c r="O52" i="1"/>
  <c r="K52" i="1"/>
  <c r="S52" i="1" s="1"/>
  <c r="J52" i="1"/>
  <c r="H52" i="1"/>
  <c r="F52" i="1"/>
  <c r="E52" i="1"/>
  <c r="G52" i="1" s="1"/>
  <c r="O51" i="1"/>
  <c r="K51" i="1"/>
  <c r="S51" i="1" s="1"/>
  <c r="J51" i="1"/>
  <c r="R51" i="1" s="1"/>
  <c r="H51" i="1"/>
  <c r="Q51" i="1" s="1"/>
  <c r="E51" i="1"/>
  <c r="G51" i="1" s="1"/>
  <c r="M51" i="1" s="1"/>
  <c r="P50" i="1"/>
  <c r="L50" i="1"/>
  <c r="E50" i="1"/>
  <c r="G50" i="1" s="1"/>
  <c r="M50" i="1" s="1"/>
  <c r="N50" i="1" s="1"/>
  <c r="P49" i="1"/>
  <c r="K49" i="1"/>
  <c r="J49" i="1"/>
  <c r="H49" i="1"/>
  <c r="L49" i="1" s="1"/>
  <c r="F49" i="1"/>
  <c r="E49" i="1"/>
  <c r="G49" i="1" s="1"/>
  <c r="Q48" i="1"/>
  <c r="P48" i="1"/>
  <c r="O48" i="1"/>
  <c r="M48" i="1"/>
  <c r="L48" i="1"/>
  <c r="N48" i="1" s="1"/>
  <c r="K48" i="1"/>
  <c r="J48" i="1"/>
  <c r="R48" i="1" s="1"/>
  <c r="H48" i="1"/>
  <c r="G48" i="1"/>
  <c r="S48" i="1" s="1"/>
  <c r="F48" i="1"/>
  <c r="E48" i="1"/>
  <c r="P47" i="1"/>
  <c r="H47" i="1"/>
  <c r="Q47" i="1" s="1"/>
  <c r="G47" i="1"/>
  <c r="S47" i="1" s="1"/>
  <c r="F47" i="1"/>
  <c r="E47" i="1"/>
  <c r="Q46" i="1"/>
  <c r="P46" i="1"/>
  <c r="O46" i="1"/>
  <c r="L46" i="1"/>
  <c r="J46" i="1"/>
  <c r="E46" i="1"/>
  <c r="G46" i="1" s="1"/>
  <c r="Q45" i="1"/>
  <c r="K45" i="1"/>
  <c r="H45" i="1"/>
  <c r="L45" i="1" s="1"/>
  <c r="F45" i="1"/>
  <c r="E45" i="1"/>
  <c r="G45" i="1" s="1"/>
  <c r="P44" i="1"/>
  <c r="O44" i="1"/>
  <c r="M44" i="1"/>
  <c r="K44" i="1"/>
  <c r="S44" i="1" s="1"/>
  <c r="J44" i="1"/>
  <c r="H44" i="1"/>
  <c r="G44" i="1"/>
  <c r="R44" i="1" s="1"/>
  <c r="F44" i="1"/>
  <c r="E44" i="1"/>
  <c r="P43" i="1"/>
  <c r="M43" i="1"/>
  <c r="K43" i="1"/>
  <c r="S43" i="1" s="1"/>
  <c r="J43" i="1"/>
  <c r="R43" i="1" s="1"/>
  <c r="H43" i="1"/>
  <c r="Q43" i="1" s="1"/>
  <c r="G43" i="1"/>
  <c r="F43" i="1"/>
  <c r="E43" i="1"/>
  <c r="K42" i="1"/>
  <c r="P42" i="1" s="1"/>
  <c r="H42" i="1"/>
  <c r="L42" i="1" s="1"/>
  <c r="E42" i="1"/>
  <c r="G42" i="1" s="1"/>
  <c r="O41" i="1"/>
  <c r="K41" i="1"/>
  <c r="Q41" i="1" s="1"/>
  <c r="J41" i="1"/>
  <c r="R41" i="1" s="1"/>
  <c r="H41" i="1"/>
  <c r="L41" i="1" s="1"/>
  <c r="F41" i="1"/>
  <c r="E41" i="1"/>
  <c r="G41" i="1" s="1"/>
  <c r="K40" i="1"/>
  <c r="P40" i="1" s="1"/>
  <c r="E40" i="1"/>
  <c r="G40" i="1" s="1"/>
  <c r="M40" i="1" s="1"/>
  <c r="O39" i="1"/>
  <c r="K39" i="1"/>
  <c r="P39" i="1" s="1"/>
  <c r="J39" i="1"/>
  <c r="R39" i="1" s="1"/>
  <c r="H39" i="1"/>
  <c r="L39" i="1" s="1"/>
  <c r="G39" i="1"/>
  <c r="M39" i="1" s="1"/>
  <c r="F39" i="1"/>
  <c r="E39" i="1"/>
  <c r="O38" i="1"/>
  <c r="K38" i="1"/>
  <c r="S38" i="1" s="1"/>
  <c r="J38" i="1"/>
  <c r="R38" i="1" s="1"/>
  <c r="H38" i="1"/>
  <c r="L38" i="1" s="1"/>
  <c r="N38" i="1" s="1"/>
  <c r="F38" i="1"/>
  <c r="E38" i="1"/>
  <c r="G38" i="1" s="1"/>
  <c r="M38" i="1" s="1"/>
  <c r="M37" i="1"/>
  <c r="L37" i="1"/>
  <c r="N37" i="1" s="1"/>
  <c r="K37" i="1"/>
  <c r="J37" i="1"/>
  <c r="E37" i="1"/>
  <c r="O36" i="1"/>
  <c r="M36" i="1"/>
  <c r="K36" i="1"/>
  <c r="Q36" i="1" s="1"/>
  <c r="J36" i="1"/>
  <c r="R36" i="1" s="1"/>
  <c r="H36" i="1"/>
  <c r="L36" i="1" s="1"/>
  <c r="N36" i="1" s="1"/>
  <c r="G36" i="1"/>
  <c r="F36" i="1"/>
  <c r="E36" i="1"/>
  <c r="O35" i="1"/>
  <c r="K35" i="1"/>
  <c r="P35" i="1" s="1"/>
  <c r="J35" i="1"/>
  <c r="H35" i="1"/>
  <c r="L35" i="1" s="1"/>
  <c r="G35" i="1"/>
  <c r="M35" i="1" s="1"/>
  <c r="F35" i="1"/>
  <c r="E35" i="1"/>
  <c r="Q34" i="1"/>
  <c r="L34" i="1"/>
  <c r="K34" i="1"/>
  <c r="S34" i="1" s="1"/>
  <c r="J34" i="1"/>
  <c r="R34" i="1" s="1"/>
  <c r="H34" i="1"/>
  <c r="G34" i="1"/>
  <c r="M34" i="1" s="1"/>
  <c r="F34" i="1"/>
  <c r="E34" i="1"/>
  <c r="P33" i="1"/>
  <c r="L33" i="1"/>
  <c r="N33" i="1" s="1"/>
  <c r="E33" i="1"/>
  <c r="G33" i="1" s="1"/>
  <c r="M33" i="1" s="1"/>
  <c r="K32" i="1"/>
  <c r="Q32" i="1" s="1"/>
  <c r="J32" i="1"/>
  <c r="H32" i="1"/>
  <c r="L32" i="1" s="1"/>
  <c r="N32" i="1" s="1"/>
  <c r="G32" i="1"/>
  <c r="M32" i="1" s="1"/>
  <c r="F32" i="1"/>
  <c r="E32" i="1"/>
  <c r="Q31" i="1"/>
  <c r="P31" i="1"/>
  <c r="H31" i="1"/>
  <c r="L31" i="1" s="1"/>
  <c r="E31" i="1"/>
  <c r="G31" i="1" s="1"/>
  <c r="P30" i="1"/>
  <c r="K30" i="1"/>
  <c r="J30" i="1"/>
  <c r="R30" i="1" s="1"/>
  <c r="H30" i="1"/>
  <c r="Q30" i="1" s="1"/>
  <c r="E30" i="1"/>
  <c r="G30" i="1" s="1"/>
  <c r="O29" i="1"/>
  <c r="O20" i="1" s="1"/>
  <c r="L29" i="1"/>
  <c r="K29" i="1"/>
  <c r="J29" i="1"/>
  <c r="H29" i="1"/>
  <c r="F29" i="1"/>
  <c r="E29" i="1"/>
  <c r="G29" i="1" s="1"/>
  <c r="M29" i="1" s="1"/>
  <c r="O28" i="1"/>
  <c r="K28" i="1"/>
  <c r="Q28" i="1" s="1"/>
  <c r="J28" i="1"/>
  <c r="H28" i="1"/>
  <c r="L28" i="1" s="1"/>
  <c r="E28" i="1"/>
  <c r="G28" i="1" s="1"/>
  <c r="M28" i="1" s="1"/>
  <c r="P27" i="1"/>
  <c r="H27" i="1"/>
  <c r="L27" i="1" s="1"/>
  <c r="E27" i="1"/>
  <c r="E20" i="1" s="1"/>
  <c r="Q26" i="1"/>
  <c r="P26" i="1"/>
  <c r="H26" i="1"/>
  <c r="L26" i="1" s="1"/>
  <c r="E26" i="1"/>
  <c r="G26" i="1" s="1"/>
  <c r="O25" i="1"/>
  <c r="K25" i="1"/>
  <c r="J25" i="1"/>
  <c r="H25" i="1"/>
  <c r="L25" i="1" s="1"/>
  <c r="E25" i="1"/>
  <c r="G25" i="1" s="1"/>
  <c r="M25" i="1" s="1"/>
  <c r="P24" i="1"/>
  <c r="K24" i="1"/>
  <c r="J24" i="1"/>
  <c r="J20" i="1" s="1"/>
  <c r="H24" i="1"/>
  <c r="L24" i="1" s="1"/>
  <c r="F24" i="1"/>
  <c r="F20" i="1" s="1"/>
  <c r="F8" i="1" s="1"/>
  <c r="F7" i="1" s="1"/>
  <c r="E24" i="1"/>
  <c r="G24" i="1" s="1"/>
  <c r="Q23" i="1"/>
  <c r="P23" i="1"/>
  <c r="O23" i="1"/>
  <c r="L23" i="1"/>
  <c r="N23" i="1" s="1"/>
  <c r="K23" i="1"/>
  <c r="J23" i="1"/>
  <c r="H23" i="1"/>
  <c r="G23" i="1"/>
  <c r="M23" i="1" s="1"/>
  <c r="F23" i="1"/>
  <c r="E23" i="1"/>
  <c r="P22" i="1"/>
  <c r="K22" i="1"/>
  <c r="J22" i="1"/>
  <c r="H22" i="1"/>
  <c r="Q22" i="1" s="1"/>
  <c r="F22" i="1"/>
  <c r="E22" i="1"/>
  <c r="G22" i="1" s="1"/>
  <c r="P21" i="1"/>
  <c r="K21" i="1"/>
  <c r="Q21" i="1" s="1"/>
  <c r="I21" i="1"/>
  <c r="H21" i="1"/>
  <c r="F21" i="1"/>
  <c r="E21" i="1"/>
  <c r="G21" i="1" s="1"/>
  <c r="H20" i="1"/>
  <c r="D20" i="1"/>
  <c r="C20" i="1"/>
  <c r="O19" i="1"/>
  <c r="K19" i="1"/>
  <c r="J19" i="1"/>
  <c r="H19" i="1"/>
  <c r="Q19" i="1" s="1"/>
  <c r="F19" i="1"/>
  <c r="E19" i="1"/>
  <c r="G19" i="1" s="1"/>
  <c r="M19" i="1" s="1"/>
  <c r="K18" i="1"/>
  <c r="S18" i="1" s="1"/>
  <c r="J18" i="1"/>
  <c r="R18" i="1" s="1"/>
  <c r="F18" i="1"/>
  <c r="E18" i="1"/>
  <c r="G18" i="1" s="1"/>
  <c r="M18" i="1" s="1"/>
  <c r="K17" i="1"/>
  <c r="P17" i="1" s="1"/>
  <c r="J17" i="1"/>
  <c r="R17" i="1" s="1"/>
  <c r="F17" i="1"/>
  <c r="E17" i="1"/>
  <c r="G17" i="1" s="1"/>
  <c r="O16" i="1"/>
  <c r="K16" i="1"/>
  <c r="J16" i="1"/>
  <c r="H16" i="1"/>
  <c r="L16" i="1" s="1"/>
  <c r="E16" i="1"/>
  <c r="E9" i="1" s="1"/>
  <c r="Q15" i="1"/>
  <c r="O15" i="1"/>
  <c r="L15" i="1"/>
  <c r="N15" i="1" s="1"/>
  <c r="K15" i="1"/>
  <c r="S15" i="1" s="1"/>
  <c r="J15" i="1"/>
  <c r="R15" i="1" s="1"/>
  <c r="H15" i="1"/>
  <c r="G15" i="1"/>
  <c r="M15" i="1" s="1"/>
  <c r="E15" i="1"/>
  <c r="O14" i="1"/>
  <c r="K14" i="1"/>
  <c r="J14" i="1"/>
  <c r="H14" i="1"/>
  <c r="Q14" i="1" s="1"/>
  <c r="E14" i="1"/>
  <c r="G14" i="1" s="1"/>
  <c r="O13" i="1"/>
  <c r="K13" i="1"/>
  <c r="J13" i="1"/>
  <c r="H13" i="1"/>
  <c r="L13" i="1" s="1"/>
  <c r="E13" i="1"/>
  <c r="G13" i="1" s="1"/>
  <c r="M13" i="1" s="1"/>
  <c r="O12" i="1"/>
  <c r="K12" i="1"/>
  <c r="P12" i="1" s="1"/>
  <c r="J12" i="1"/>
  <c r="R12" i="1" s="1"/>
  <c r="H12" i="1"/>
  <c r="L12" i="1" s="1"/>
  <c r="N12" i="1" s="1"/>
  <c r="G12" i="1"/>
  <c r="M12" i="1" s="1"/>
  <c r="E12" i="1"/>
  <c r="P11" i="1"/>
  <c r="O11" i="1"/>
  <c r="K11" i="1"/>
  <c r="S11" i="1" s="1"/>
  <c r="J11" i="1"/>
  <c r="R11" i="1" s="1"/>
  <c r="H11" i="1"/>
  <c r="L11" i="1" s="1"/>
  <c r="G11" i="1"/>
  <c r="M11" i="1" s="1"/>
  <c r="E11" i="1"/>
  <c r="O10" i="1"/>
  <c r="K10" i="1"/>
  <c r="J10" i="1"/>
  <c r="H10" i="1"/>
  <c r="L10" i="1" s="1"/>
  <c r="E10" i="1"/>
  <c r="G10" i="1" s="1"/>
  <c r="O9" i="1"/>
  <c r="O8" i="1" s="1"/>
  <c r="O7" i="1" s="1"/>
  <c r="J9" i="1"/>
  <c r="I9" i="1"/>
  <c r="F9" i="1"/>
  <c r="D9" i="1"/>
  <c r="C9" i="1"/>
  <c r="D8" i="1"/>
  <c r="C8" i="1"/>
  <c r="D7" i="1"/>
  <c r="R28" i="1" l="1"/>
  <c r="S19" i="1"/>
  <c r="R16" i="1"/>
  <c r="N25" i="1"/>
  <c r="N45" i="1"/>
  <c r="N59" i="1"/>
  <c r="S83" i="1"/>
  <c r="M83" i="1"/>
  <c r="L98" i="1"/>
  <c r="N100" i="1"/>
  <c r="N98" i="1" s="1"/>
  <c r="C7" i="1"/>
  <c r="R25" i="1"/>
  <c r="S45" i="1"/>
  <c r="R74" i="1"/>
  <c r="R79" i="1"/>
  <c r="M79" i="1"/>
  <c r="N85" i="1"/>
  <c r="P98" i="1"/>
  <c r="M17" i="1"/>
  <c r="S17" i="1"/>
  <c r="S25" i="1"/>
  <c r="N56" i="1"/>
  <c r="M94" i="1"/>
  <c r="H94" i="1"/>
  <c r="L94" i="1" s="1"/>
  <c r="M101" i="1"/>
  <c r="N101" i="1" s="1"/>
  <c r="S101" i="1"/>
  <c r="N103" i="1"/>
  <c r="N114" i="1"/>
  <c r="R22" i="1"/>
  <c r="N16" i="1"/>
  <c r="N97" i="1"/>
  <c r="N116" i="1"/>
  <c r="N11" i="1"/>
  <c r="S16" i="1"/>
  <c r="M46" i="1"/>
  <c r="N46" i="1" s="1"/>
  <c r="S46" i="1"/>
  <c r="N79" i="1"/>
  <c r="R81" i="1"/>
  <c r="R83" i="1"/>
  <c r="S26" i="1"/>
  <c r="R26" i="1"/>
  <c r="M26" i="1"/>
  <c r="S29" i="1"/>
  <c r="N35" i="1"/>
  <c r="S41" i="1"/>
  <c r="M41" i="1"/>
  <c r="R46" i="1"/>
  <c r="R60" i="1"/>
  <c r="M60" i="1"/>
  <c r="N60" i="1" s="1"/>
  <c r="M67" i="1"/>
  <c r="R67" i="1"/>
  <c r="S81" i="1"/>
  <c r="M95" i="1"/>
  <c r="N95" i="1" s="1"/>
  <c r="R95" i="1"/>
  <c r="M104" i="1"/>
  <c r="N104" i="1" s="1"/>
  <c r="S104" i="1"/>
  <c r="S61" i="1"/>
  <c r="N13" i="1"/>
  <c r="R13" i="1"/>
  <c r="S13" i="1"/>
  <c r="N39" i="1"/>
  <c r="R53" i="1"/>
  <c r="S53" i="1"/>
  <c r="M53" i="1"/>
  <c r="N34" i="1"/>
  <c r="R98" i="1"/>
  <c r="S14" i="1"/>
  <c r="S21" i="1"/>
  <c r="R21" i="1"/>
  <c r="M21" i="1"/>
  <c r="R29" i="1"/>
  <c r="N26" i="1"/>
  <c r="N29" i="1"/>
  <c r="N62" i="1"/>
  <c r="N70" i="1"/>
  <c r="S79" i="1"/>
  <c r="R90" i="1"/>
  <c r="M108" i="1"/>
  <c r="M105" i="1" s="1"/>
  <c r="N41" i="1"/>
  <c r="N67" i="1"/>
  <c r="R70" i="1"/>
  <c r="S90" i="1"/>
  <c r="P105" i="1"/>
  <c r="N111" i="1"/>
  <c r="R115" i="1"/>
  <c r="M115" i="1"/>
  <c r="S30" i="1"/>
  <c r="M30" i="1"/>
  <c r="R52" i="1"/>
  <c r="M52" i="1"/>
  <c r="S63" i="1"/>
  <c r="R63" i="1"/>
  <c r="M63" i="1"/>
  <c r="N63" i="1" s="1"/>
  <c r="G105" i="1"/>
  <c r="G9" i="1"/>
  <c r="R9" i="1" s="1"/>
  <c r="R10" i="1"/>
  <c r="M10" i="1"/>
  <c r="S22" i="1"/>
  <c r="M22" i="1"/>
  <c r="M24" i="1"/>
  <c r="N24" i="1" s="1"/>
  <c r="S24" i="1"/>
  <c r="S49" i="1"/>
  <c r="M49" i="1"/>
  <c r="N77" i="1"/>
  <c r="S109" i="1"/>
  <c r="M109" i="1"/>
  <c r="N109" i="1" s="1"/>
  <c r="N108" i="1" s="1"/>
  <c r="G108" i="1"/>
  <c r="L9" i="1"/>
  <c r="N10" i="1"/>
  <c r="M42" i="1"/>
  <c r="S42" i="1"/>
  <c r="R42" i="1"/>
  <c r="N71" i="1"/>
  <c r="N115" i="1"/>
  <c r="N42" i="1"/>
  <c r="N49" i="1"/>
  <c r="R61" i="1"/>
  <c r="M61" i="1"/>
  <c r="N61" i="1" s="1"/>
  <c r="S10" i="1"/>
  <c r="M31" i="1"/>
  <c r="N31" i="1" s="1"/>
  <c r="S31" i="1"/>
  <c r="R31" i="1"/>
  <c r="R49" i="1"/>
  <c r="N58" i="1"/>
  <c r="N102" i="1"/>
  <c r="R109" i="1"/>
  <c r="N28" i="1"/>
  <c r="R19" i="1"/>
  <c r="S56" i="1"/>
  <c r="M56" i="1"/>
  <c r="G55" i="1"/>
  <c r="R55" i="1" s="1"/>
  <c r="S68" i="1"/>
  <c r="N82" i="1"/>
  <c r="L105" i="1"/>
  <c r="N106" i="1"/>
  <c r="N78" i="1"/>
  <c r="N113" i="1"/>
  <c r="R45" i="1"/>
  <c r="M45" i="1"/>
  <c r="M74" i="1"/>
  <c r="N74" i="1" s="1"/>
  <c r="S74" i="1"/>
  <c r="K105" i="1"/>
  <c r="R14" i="1"/>
  <c r="M14" i="1"/>
  <c r="R56" i="1"/>
  <c r="H9" i="1"/>
  <c r="Q12" i="1"/>
  <c r="Q17" i="1"/>
  <c r="Q24" i="1"/>
  <c r="S28" i="1"/>
  <c r="R32" i="1"/>
  <c r="Q35" i="1"/>
  <c r="S36" i="1"/>
  <c r="Q39" i="1"/>
  <c r="Q42" i="1"/>
  <c r="P67" i="1"/>
  <c r="R78" i="1"/>
  <c r="L83" i="1"/>
  <c r="N83" i="1" s="1"/>
  <c r="Q85" i="1"/>
  <c r="Q88" i="1"/>
  <c r="N91" i="1"/>
  <c r="P95" i="1"/>
  <c r="P90" i="1" s="1"/>
  <c r="J8" i="1"/>
  <c r="L22" i="1"/>
  <c r="N22" i="1" s="1"/>
  <c r="R24" i="1"/>
  <c r="Q27" i="1"/>
  <c r="S32" i="1"/>
  <c r="P34" i="1"/>
  <c r="R35" i="1"/>
  <c r="P38" i="1"/>
  <c r="L53" i="1"/>
  <c r="M66" i="1"/>
  <c r="N66" i="1" s="1"/>
  <c r="Q67" i="1"/>
  <c r="P70" i="1"/>
  <c r="L72" i="1"/>
  <c r="N72" i="1" s="1"/>
  <c r="S78" i="1"/>
  <c r="P84" i="1"/>
  <c r="Q95" i="1"/>
  <c r="S12" i="1"/>
  <c r="S35" i="1"/>
  <c r="Q38" i="1"/>
  <c r="S39" i="1"/>
  <c r="E55" i="1"/>
  <c r="E8" i="1" s="1"/>
  <c r="E7" i="1" s="1"/>
  <c r="Q70" i="1"/>
  <c r="S85" i="1"/>
  <c r="K9" i="1"/>
  <c r="Q11" i="1"/>
  <c r="P16" i="1"/>
  <c r="I20" i="1"/>
  <c r="I8" i="1" s="1"/>
  <c r="I7" i="1" s="1"/>
  <c r="L52" i="1"/>
  <c r="Q62" i="1"/>
  <c r="Q73" i="1"/>
  <c r="G92" i="1"/>
  <c r="Q100" i="1"/>
  <c r="H108" i="1"/>
  <c r="H105" i="1" s="1"/>
  <c r="Q16" i="1"/>
  <c r="L21" i="1"/>
  <c r="N21" i="1" s="1"/>
  <c r="R23" i="1"/>
  <c r="L30" i="1"/>
  <c r="P41" i="1"/>
  <c r="E98" i="1"/>
  <c r="G98" i="1" s="1"/>
  <c r="R100" i="1"/>
  <c r="J108" i="1"/>
  <c r="P10" i="1"/>
  <c r="L14" i="1"/>
  <c r="L19" i="1"/>
  <c r="N19" i="1" s="1"/>
  <c r="K20" i="1"/>
  <c r="S23" i="1"/>
  <c r="L51" i="1"/>
  <c r="N51" i="1" s="1"/>
  <c r="H55" i="1"/>
  <c r="L57" i="1"/>
  <c r="N57" i="1" s="1"/>
  <c r="P61" i="1"/>
  <c r="R66" i="1"/>
  <c r="S100" i="1"/>
  <c r="K108" i="1"/>
  <c r="Q10" i="1"/>
  <c r="P15" i="1"/>
  <c r="L40" i="1"/>
  <c r="N40" i="1" s="1"/>
  <c r="L44" i="1"/>
  <c r="N44" i="1" s="1"/>
  <c r="P45" i="1"/>
  <c r="Q61" i="1"/>
  <c r="L64" i="1"/>
  <c r="N64" i="1" s="1"/>
  <c r="L76" i="1"/>
  <c r="N76" i="1" s="1"/>
  <c r="L80" i="1"/>
  <c r="N80" i="1" s="1"/>
  <c r="H96" i="1"/>
  <c r="L96" i="1" s="1"/>
  <c r="L18" i="1"/>
  <c r="N18" i="1" s="1"/>
  <c r="Q52" i="1"/>
  <c r="K55" i="1"/>
  <c r="P60" i="1"/>
  <c r="P65" i="1"/>
  <c r="P81" i="1"/>
  <c r="P14" i="1"/>
  <c r="P19" i="1"/>
  <c r="L43" i="1"/>
  <c r="N43" i="1" s="1"/>
  <c r="L47" i="1"/>
  <c r="P51" i="1"/>
  <c r="P57" i="1"/>
  <c r="Q60" i="1"/>
  <c r="Q65" i="1"/>
  <c r="Q81" i="1"/>
  <c r="M47" i="1"/>
  <c r="L68" i="1"/>
  <c r="N68" i="1" s="1"/>
  <c r="K98" i="1"/>
  <c r="G16" i="1"/>
  <c r="M16" i="1" s="1"/>
  <c r="P18" i="1"/>
  <c r="G27" i="1"/>
  <c r="P29" i="1"/>
  <c r="Q44" i="1"/>
  <c r="P56" i="1"/>
  <c r="Q64" i="1"/>
  <c r="Q76" i="1"/>
  <c r="Q80" i="1"/>
  <c r="H93" i="1"/>
  <c r="L93" i="1" s="1"/>
  <c r="P13" i="1"/>
  <c r="L17" i="1"/>
  <c r="N17" i="1" s="1"/>
  <c r="Q18" i="1"/>
  <c r="P25" i="1"/>
  <c r="P20" i="1" s="1"/>
  <c r="Q29" i="1"/>
  <c r="P79" i="1"/>
  <c r="P102" i="1"/>
  <c r="Q13" i="1"/>
  <c r="Q25" i="1"/>
  <c r="P28" i="1"/>
  <c r="P36" i="1"/>
  <c r="Q79" i="1"/>
  <c r="Q102" i="1"/>
  <c r="P32" i="1"/>
  <c r="R47" i="1"/>
  <c r="P78" i="1"/>
  <c r="Q20" i="1" l="1"/>
  <c r="N14" i="1"/>
  <c r="N47" i="1"/>
  <c r="N20" i="1" s="1"/>
  <c r="P9" i="1"/>
  <c r="P55" i="1"/>
  <c r="R108" i="1"/>
  <c r="J105" i="1"/>
  <c r="N53" i="1"/>
  <c r="M98" i="1"/>
  <c r="M96" i="1"/>
  <c r="N96" i="1"/>
  <c r="H92" i="1"/>
  <c r="N52" i="1"/>
  <c r="S9" i="1"/>
  <c r="Q9" i="1"/>
  <c r="K8" i="1"/>
  <c r="M55" i="1"/>
  <c r="Q105" i="1"/>
  <c r="S105" i="1"/>
  <c r="M27" i="1"/>
  <c r="N27" i="1" s="1"/>
  <c r="S27" i="1"/>
  <c r="R27" i="1"/>
  <c r="S108" i="1"/>
  <c r="Q108" i="1"/>
  <c r="N30" i="1"/>
  <c r="M9" i="1"/>
  <c r="N105" i="1"/>
  <c r="G20" i="1"/>
  <c r="R20" i="1" s="1"/>
  <c r="N94" i="1"/>
  <c r="M93" i="1"/>
  <c r="N93" i="1" s="1"/>
  <c r="S98" i="1"/>
  <c r="Q98" i="1"/>
  <c r="L20" i="1"/>
  <c r="N9" i="1"/>
  <c r="M20" i="1"/>
  <c r="N55" i="1"/>
  <c r="Q55" i="1"/>
  <c r="S55" i="1"/>
  <c r="J7" i="1"/>
  <c r="L55" i="1"/>
  <c r="S20" i="1" l="1"/>
  <c r="M8" i="1"/>
  <c r="M7" i="1" s="1"/>
  <c r="L92" i="1"/>
  <c r="H90" i="1"/>
  <c r="M92" i="1"/>
  <c r="M90" i="1" s="1"/>
  <c r="P8" i="1"/>
  <c r="P7" i="1" s="1"/>
  <c r="S8" i="1"/>
  <c r="K7" i="1"/>
  <c r="G8" i="1"/>
  <c r="N92" i="1" l="1"/>
  <c r="N90" i="1" s="1"/>
  <c r="N8" i="1" s="1"/>
  <c r="N7" i="1" s="1"/>
  <c r="L90" i="1"/>
  <c r="L8" i="1" s="1"/>
  <c r="L7" i="1" s="1"/>
  <c r="G7" i="1"/>
  <c r="R7" i="1" s="1"/>
  <c r="R8" i="1"/>
  <c r="Q90" i="1"/>
  <c r="H8" i="1"/>
  <c r="H7" i="1" l="1"/>
  <c r="Q7" i="1" s="1"/>
  <c r="Q8" i="1"/>
  <c r="S7" i="1"/>
</calcChain>
</file>

<file path=xl/sharedStrings.xml><?xml version="1.0" encoding="utf-8"?>
<sst xmlns="http://schemas.openxmlformats.org/spreadsheetml/2006/main" count="187" uniqueCount="170">
  <si>
    <t xml:space="preserve">  </t>
  </si>
  <si>
    <t>DIRECCIÓN DE ADMINISTRACIÓN Y FINANZAS - DEPARTAMENTO DE PRESUPUESTO</t>
  </si>
  <si>
    <t>INFORME DE EJECUCIÓN PRESUPUESTARIA (FUNCIONAMIENTO)</t>
  </si>
  <si>
    <t>AL 30 de abril  2022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</si>
  <si>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</si>
  <si>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</si>
  <si>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</si>
  <si>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</si>
  <si>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>(2)    CONTENSIÓN DEL GASTO</t>
  </si>
  <si>
    <t xml:space="preserve"> (3) PRESUPUESTO LEY                                
</t>
  </si>
  <si>
    <t xml:space="preserve">(4)                    CREDITOS EXTRAORDINARIOS / TRASLADOS   </t>
  </si>
  <si>
    <t xml:space="preserve"> (5) PRESUPUESTO MODIFICADO                                
</t>
  </si>
  <si>
    <t xml:space="preserve">(6)                 ASIGNADO
</t>
  </si>
  <si>
    <t>(7)                    SALDO DE CONTRATOS POR EJECUTAR</t>
  </si>
  <si>
    <t xml:space="preserve">(8)            COMPROMISO MENSUAL      </t>
  </si>
  <si>
    <t>(9)     COMPROMISOS   /EJECUTADO</t>
  </si>
  <si>
    <t xml:space="preserve">(10)                 SALDO A LA FECHA                  (H6-K9)           </t>
  </si>
  <si>
    <t>(11)                     SALDO POR ASIGNAR   (G5-H6)</t>
  </si>
  <si>
    <t>(12)                                   SALDO ANUAL    (-I7+L10+M11)</t>
  </si>
  <si>
    <t>(13)                 PAGADO</t>
  </si>
  <si>
    <t>(14 )  POR PAGAR A LA FECHA   (K9-O13)</t>
  </si>
  <si>
    <t>% EJEC. (COMP. EJEC. VS PRES. ASIG.)
(K9/H6)</t>
  </si>
  <si>
    <t>% EJEC. (COMP. MENS. VS PRES. MOD.)
(J8/G5)</t>
  </si>
  <si>
    <t>(13)   % EJEC. (COMP. EJEC.  VS PRES. MOD.)
(K9/G5)</t>
  </si>
  <si>
    <t>FUNCIONAMIENTO E INVERSIONES</t>
  </si>
  <si>
    <t>FUNCIONAMIENTO</t>
  </si>
  <si>
    <t>SERVICIOS PERSONALES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</si>
  <si>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</si>
  <si>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</si>
  <si>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</si>
  <si>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</si>
  <si>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</si>
  <si>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</si>
  <si>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</si>
  <si>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</si>
  <si>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</si>
  <si>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</si>
  <si>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</si>
  <si>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</si>
  <si>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</si>
  <si>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</si>
  <si>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SUELDOS</t>
  </si>
  <si>
    <t>096</t>
  </si>
  <si>
    <t>III MES</t>
  </si>
  <si>
    <t>099</t>
  </si>
  <si>
    <t>CONTRIBUCIONES A LA SEGURIDAD</t>
  </si>
  <si>
    <t>SERVICIOS NO PERSONALES</t>
  </si>
  <si>
    <t>DE EDIFICIOS Y LOCALES</t>
  </si>
  <si>
    <t>DE EQUIPO ELECTRONICO</t>
  </si>
  <si>
    <t>103</t>
  </si>
  <si>
    <t>DE EQUIPO DE OFICINA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</si>
  <si>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</si>
  <si>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</si>
  <si>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</si>
  <si>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</si>
  <si>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</si>
  <si>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</si>
  <si>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</si>
  <si>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</si>
  <si>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</si>
  <si>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</si>
  <si>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</si>
  <si>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</si>
  <si>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SERVICIOS DE TELEFONIA CELULAR</t>
  </si>
  <si>
    <t>120</t>
  </si>
  <si>
    <t>IMPRESION, ENCUADERNACION Y OTROS</t>
  </si>
  <si>
    <t>ANUNCIOS Y AVISOS</t>
  </si>
  <si>
    <t>132</t>
  </si>
  <si>
    <t>PROMOCION Y PUBLICIDAD</t>
  </si>
  <si>
    <t>VIÁTICOSS DENTRO DEL PAIS</t>
  </si>
  <si>
    <t>142</t>
  </si>
  <si>
    <t>VIATICOS EN EL EXTERIOR</t>
  </si>
  <si>
    <t>VIATICOS A OTRAS PERSONAS</t>
  </si>
  <si>
    <t>151</t>
  </si>
  <si>
    <t>TRANSPORTE DENTRO DEL PAIS</t>
  </si>
  <si>
    <t>TRANSPORTE DE O PARA EL EXTERIOR</t>
  </si>
  <si>
    <t>TRANSPORTE DE OTRAS PERSONAS</t>
  </si>
  <si>
    <t>TRANSPRTE DE BIENES</t>
  </si>
  <si>
    <t>164</t>
  </si>
  <si>
    <t>GASTOS DE SEGUROS</t>
  </si>
  <si>
    <t>SERVICIOS COMERCIALES</t>
  </si>
  <si>
    <t>169</t>
  </si>
  <si>
    <t>OTROS SERVICIOS COMERCIALES Y FINANCIEROS</t>
  </si>
  <si>
    <t>CONSULTORÍAS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</si>
  <si>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</si>
  <si>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</si>
  <si>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</si>
  <si>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</si>
  <si>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</si>
  <si>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</si>
  <si>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>MANT. Y REP. DE EQUIPO COMPUTACIÓN</t>
  </si>
  <si>
    <t>SERVICIOS BÁSICOS</t>
  </si>
  <si>
    <t xml:space="preserve"> VIÁTICOS</t>
  </si>
  <si>
    <t>TRANSPORTE DE PERSONAS Y BIENES</t>
  </si>
  <si>
    <t>SERVICIOS COMERCIALES Y FINANCIEROS</t>
  </si>
  <si>
    <t>MANTENIMIENTO Y REPARACIÓN</t>
  </si>
  <si>
    <t>MATERIALES Y SUMINISTROS</t>
  </si>
  <si>
    <t>ALIMENTO PARA CONSUMO HUMANO</t>
  </si>
  <si>
    <t>203</t>
  </si>
  <si>
    <t>BEBIDAS</t>
  </si>
  <si>
    <t>ACABADO TEXTIL</t>
  </si>
  <si>
    <t>CALZADO</t>
  </si>
  <si>
    <t>PRENDAS DE VESTIR</t>
  </si>
  <si>
    <t>221</t>
  </si>
  <si>
    <t>DIESEL</t>
  </si>
  <si>
    <t>223</t>
  </si>
  <si>
    <t>GASOLINA</t>
  </si>
  <si>
    <t>224</t>
  </si>
  <si>
    <t>LUBRICANTES</t>
  </si>
  <si>
    <t>IMPRESOS</t>
  </si>
  <si>
    <t>232</t>
  </si>
  <si>
    <t>PAPELERIA</t>
  </si>
  <si>
    <t>OTROS PRODUCTOS DE PAPEL Y CARTON</t>
  </si>
  <si>
    <t>INSECTICIDAS, FUMIGANTES Y OTROS</t>
  </si>
  <si>
    <t>243</t>
  </si>
  <si>
    <t>PINTURAS, COLORANTES Y TINTES</t>
  </si>
  <si>
    <t>PRODUCTOS MEDICINALES Y FARMACÉUTICOS</t>
  </si>
  <si>
    <t>249</t>
  </si>
  <si>
    <t>OTROS PRODUCTOS QUÍMICOS</t>
  </si>
  <si>
    <t>CEMENTO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</si>
  <si>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</si>
  <si>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</si>
  <si>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</si>
  <si>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</si>
  <si>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</si>
  <si>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</si>
  <si>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</si>
  <si>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</si>
  <si>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</si>
  <si>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</si>
  <si>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HERRAMIENTAS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</si>
  <si>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</si>
  <si>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</si>
  <si>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</si>
  <si>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</si>
  <si>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</si>
  <si>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</si>
  <si>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</si>
  <si>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</si>
  <si>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</si>
  <si>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</si>
  <si>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</si>
  <si>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</si>
  <si>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</si>
  <si>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</si>
  <si>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</t>
  </si>
  <si>
    <t>TEXTILES Y VESTUARIO</t>
  </si>
  <si>
    <t>COMBUSTIBLES Y LUBRICANTES</t>
  </si>
  <si>
    <t xml:space="preserve"> PRODUCTOS VARIOS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</si>
  <si>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</si>
  <si>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</si>
  <si>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</si>
  <si>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</si>
  <si>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</si>
  <si>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</si>
  <si>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</si>
  <si>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</si>
  <si>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</si>
  <si>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</si>
  <si>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</si>
  <si>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TRANSFERENCIAS CORRIENTES</t>
  </si>
  <si>
    <t>INDEMNIZACIONES LABORALES</t>
  </si>
  <si>
    <t>624</t>
  </si>
  <si>
    <t>CAPACITACION Y ESTUDIO</t>
  </si>
  <si>
    <t>629</t>
  </si>
  <si>
    <t>OTRAS BECAS</t>
  </si>
  <si>
    <t>OTRAS TRANSFERENCIAS AL EXTERIOR</t>
  </si>
  <si>
    <t>A PERSONAS</t>
  </si>
  <si>
    <t>AL EXTERIOR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</si>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</sst>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180A]General"/>
    <numFmt numFmtId="165" formatCode="[$-180A]#,##0"/>
    <numFmt numFmtId="166" formatCode="[$-180A]#,##0.00"/>
    <numFmt numFmtId="167" formatCode="[$-180A]0%"/>
    <numFmt numFmtId="168" formatCode="[$-180A]#,##0.00&quot; &quot;;[$-180A]&quot;(&quot;#,##0.00&quot;)&quot;"/>
    <numFmt numFmtId="169" formatCode="[$-180A]#,##0&quot; &quot;;[$-180A]&quot;(&quot;#,##0&quot;)&quot;"/>
    <numFmt numFmtId="170" formatCode="&quot; &quot;#,##0.00&quot;    &quot;;&quot;-&quot;#,##0.00&quot;    &quot;;&quot; -&quot;#&quot;    &quot;;&quot; &quot;@&quot; &quot;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164" fontId="6" fillId="0" borderId="0"/>
    <xf numFmtId="170" fontId="1" fillId="0" borderId="0"/>
  </cellStyleXfs>
  <cellXfs count="136">
    <xf numFmtId="0" fontId="0" fillId="0" borderId="0" xfId="0"/>
    <xf numFmtId="164" fontId="3" fillId="0" borderId="0" xfId="1" applyFont="1"/>
    <xf numFmtId="164" fontId="2" fillId="0" borderId="0" xfId="1" applyFont="1"/>
    <xf numFmtId="165" fontId="2" fillId="0" borderId="6" xfId="1" applyNumberFormat="1" applyFont="1" applyBorder="1" applyAlignment="1">
      <alignment wrapText="1"/>
    </xf>
    <xf numFmtId="167" fontId="2" fillId="0" borderId="5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wrapText="1"/>
    </xf>
    <xf numFmtId="165" fontId="2" fillId="0" borderId="2" xfId="1" applyNumberFormat="1" applyFont="1" applyBorder="1" applyAlignment="1">
      <alignment wrapText="1"/>
    </xf>
    <xf numFmtId="3" fontId="2" fillId="0" borderId="7" xfId="1" applyNumberFormat="1" applyFont="1" applyBorder="1" applyAlignment="1">
      <alignment wrapText="1"/>
    </xf>
    <xf numFmtId="165" fontId="2" fillId="0" borderId="3" xfId="1" applyNumberFormat="1" applyFont="1" applyBorder="1" applyAlignment="1">
      <alignment wrapText="1"/>
    </xf>
    <xf numFmtId="165" fontId="2" fillId="0" borderId="7" xfId="1" applyNumberFormat="1" applyFont="1" applyBorder="1" applyAlignment="1">
      <alignment wrapText="1"/>
    </xf>
    <xf numFmtId="167" fontId="2" fillId="0" borderId="2" xfId="1" applyNumberFormat="1" applyFont="1" applyBorder="1" applyAlignment="1">
      <alignment horizontal="right" vertical="center" wrapText="1"/>
    </xf>
    <xf numFmtId="164" fontId="2" fillId="0" borderId="4" xfId="1" applyFont="1" applyBorder="1"/>
    <xf numFmtId="164" fontId="2" fillId="0" borderId="5" xfId="1" applyFont="1" applyBorder="1" applyAlignment="1">
      <alignment horizontal="left" wrapText="1"/>
    </xf>
    <xf numFmtId="3" fontId="2" fillId="0" borderId="6" xfId="1" applyNumberFormat="1" applyFont="1" applyBorder="1"/>
    <xf numFmtId="165" fontId="2" fillId="0" borderId="5" xfId="1" applyNumberFormat="1" applyFont="1" applyBorder="1"/>
    <xf numFmtId="3" fontId="2" fillId="0" borderId="5" xfId="1" applyNumberFormat="1" applyFont="1" applyBorder="1"/>
    <xf numFmtId="167" fontId="2" fillId="0" borderId="5" xfId="1" applyNumberFormat="1" applyFont="1" applyBorder="1" applyAlignment="1">
      <alignment horizontal="right" wrapText="1"/>
    </xf>
    <xf numFmtId="164" fontId="3" fillId="0" borderId="8" xfId="1" applyFont="1" applyBorder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3" fontId="1" fillId="0" borderId="8" xfId="1" applyNumberFormat="1" applyBorder="1"/>
    <xf numFmtId="165" fontId="3" fillId="0" borderId="0" xfId="1" applyNumberFormat="1" applyFont="1" applyProtection="1">
      <protection locked="0"/>
    </xf>
    <xf numFmtId="3" fontId="1" fillId="0" borderId="9" xfId="1" applyNumberFormat="1" applyBorder="1"/>
    <xf numFmtId="165" fontId="1" fillId="0" borderId="8" xfId="1" applyNumberFormat="1" applyBorder="1"/>
    <xf numFmtId="165" fontId="3" fillId="0" borderId="8" xfId="1" applyNumberFormat="1" applyFont="1" applyBorder="1"/>
    <xf numFmtId="168" fontId="1" fillId="0" borderId="10" xfId="1" applyNumberFormat="1" applyBorder="1"/>
    <xf numFmtId="165" fontId="3" fillId="0" borderId="10" xfId="1" applyNumberFormat="1" applyFont="1" applyBorder="1"/>
    <xf numFmtId="165" fontId="3" fillId="0" borderId="10" xfId="1" applyNumberFormat="1" applyFont="1" applyBorder="1" applyAlignment="1">
      <alignment wrapText="1"/>
    </xf>
    <xf numFmtId="168" fontId="1" fillId="0" borderId="9" xfId="1" applyNumberFormat="1" applyBorder="1"/>
    <xf numFmtId="168" fontId="1" fillId="0" borderId="8" xfId="1" applyNumberFormat="1" applyBorder="1"/>
    <xf numFmtId="167" fontId="3" fillId="0" borderId="10" xfId="1" applyNumberFormat="1" applyFont="1" applyBorder="1" applyAlignment="1">
      <alignment horizontal="right" vertical="center" wrapText="1"/>
    </xf>
    <xf numFmtId="169" fontId="1" fillId="0" borderId="9" xfId="1" applyNumberFormat="1" applyBorder="1"/>
    <xf numFmtId="3" fontId="3" fillId="0" borderId="8" xfId="1" applyNumberFormat="1" applyFont="1" applyBorder="1"/>
    <xf numFmtId="164" fontId="3" fillId="0" borderId="0" xfId="1" applyFont="1" applyAlignment="1" applyProtection="1">
      <alignment horizontal="left" wrapText="1"/>
      <protection locked="0"/>
    </xf>
    <xf numFmtId="164" fontId="2" fillId="0" borderId="5" xfId="1" applyFont="1" applyBorder="1" applyAlignment="1">
      <alignment vertical="center"/>
    </xf>
    <xf numFmtId="164" fontId="2" fillId="0" borderId="5" xfId="1" applyFont="1" applyBorder="1" applyAlignment="1">
      <alignment horizontal="left" vertical="center" wrapText="1"/>
    </xf>
    <xf numFmtId="3" fontId="2" fillId="0" borderId="5" xfId="1" applyNumberFormat="1" applyFont="1" applyBorder="1" applyAlignment="1">
      <alignment vertical="center"/>
    </xf>
    <xf numFmtId="165" fontId="2" fillId="0" borderId="5" xfId="1" applyNumberFormat="1" applyFont="1" applyBorder="1" applyAlignment="1">
      <alignment vertical="center"/>
    </xf>
    <xf numFmtId="167" fontId="3" fillId="0" borderId="5" xfId="1" applyNumberFormat="1" applyFont="1" applyBorder="1" applyAlignment="1">
      <alignment horizontal="right" vertical="center" wrapText="1"/>
    </xf>
    <xf numFmtId="164" fontId="2" fillId="0" borderId="0" xfId="1" applyFont="1" applyAlignment="1">
      <alignment vertical="center"/>
    </xf>
    <xf numFmtId="169" fontId="1" fillId="0" borderId="10" xfId="1" applyNumberFormat="1" applyBorder="1"/>
    <xf numFmtId="164" fontId="5" fillId="0" borderId="0" xfId="1" applyFont="1"/>
    <xf numFmtId="49" fontId="6" fillId="0" borderId="10" xfId="2" applyNumberFormat="1" applyBorder="1" applyAlignment="1">
      <alignment horizontal="left"/>
    </xf>
    <xf numFmtId="165" fontId="2" fillId="0" borderId="4" xfId="1" applyNumberFormat="1" applyFont="1" applyBorder="1" applyAlignment="1">
      <alignment vertical="center"/>
    </xf>
    <xf numFmtId="167" fontId="2" fillId="0" borderId="11" xfId="1" applyNumberFormat="1" applyFont="1" applyBorder="1" applyAlignment="1">
      <alignment horizontal="right" vertical="center" wrapText="1"/>
    </xf>
    <xf numFmtId="167" fontId="3" fillId="0" borderId="12" xfId="1" applyNumberFormat="1" applyFont="1" applyBorder="1" applyAlignment="1">
      <alignment horizontal="right" vertical="center" wrapText="1"/>
    </xf>
    <xf numFmtId="167" fontId="3" fillId="0" borderId="13" xfId="1" applyNumberFormat="1" applyFont="1" applyBorder="1" applyAlignment="1">
      <alignment horizontal="right" vertical="center" wrapText="1"/>
    </xf>
    <xf numFmtId="3" fontId="3" fillId="0" borderId="8" xfId="1" applyNumberFormat="1" applyFont="1" applyBorder="1" applyProtection="1">
      <protection locked="0"/>
    </xf>
    <xf numFmtId="3" fontId="3" fillId="0" borderId="9" xfId="1" applyNumberFormat="1" applyFont="1" applyBorder="1" applyProtection="1">
      <protection locked="0"/>
    </xf>
    <xf numFmtId="165" fontId="3" fillId="0" borderId="8" xfId="1" applyNumberFormat="1" applyFont="1" applyBorder="1" applyProtection="1">
      <protection locked="0"/>
    </xf>
    <xf numFmtId="165" fontId="3" fillId="0" borderId="14" xfId="1" applyNumberFormat="1" applyFont="1" applyBorder="1" applyProtection="1">
      <protection locked="0"/>
    </xf>
    <xf numFmtId="164" fontId="2" fillId="0" borderId="5" xfId="1" applyFont="1" applyBorder="1" applyAlignment="1" applyProtection="1">
      <alignment horizontal="right"/>
      <protection locked="0"/>
    </xf>
    <xf numFmtId="164" fontId="2" fillId="0" borderId="15" xfId="1" applyFont="1" applyBorder="1" applyProtection="1">
      <protection locked="0"/>
    </xf>
    <xf numFmtId="3" fontId="2" fillId="0" borderId="5" xfId="1" applyNumberFormat="1" applyFont="1" applyBorder="1" applyProtection="1">
      <protection locked="0"/>
    </xf>
    <xf numFmtId="165" fontId="2" fillId="0" borderId="15" xfId="1" applyNumberFormat="1" applyFont="1" applyBorder="1" applyProtection="1">
      <protection locked="0"/>
    </xf>
    <xf numFmtId="3" fontId="2" fillId="0" borderId="13" xfId="1" applyNumberFormat="1" applyFont="1" applyBorder="1" applyProtection="1">
      <protection locked="0"/>
    </xf>
    <xf numFmtId="165" fontId="2" fillId="0" borderId="10" xfId="1" applyNumberFormat="1" applyFont="1" applyBorder="1" applyProtection="1">
      <protection locked="0"/>
    </xf>
    <xf numFmtId="165" fontId="3" fillId="0" borderId="5" xfId="1" applyNumberFormat="1" applyFont="1" applyBorder="1"/>
    <xf numFmtId="165" fontId="2" fillId="0" borderId="6" xfId="1" applyNumberFormat="1" applyFont="1" applyBorder="1" applyProtection="1">
      <protection locked="0"/>
    </xf>
    <xf numFmtId="165" fontId="2" fillId="0" borderId="4" xfId="1" applyNumberFormat="1" applyFont="1" applyBorder="1" applyProtection="1">
      <protection locked="0"/>
    </xf>
    <xf numFmtId="167" fontId="2" fillId="0" borderId="16" xfId="1" applyNumberFormat="1" applyFont="1" applyBorder="1" applyAlignment="1">
      <alignment horizontal="right" vertical="center" wrapText="1"/>
    </xf>
    <xf numFmtId="167" fontId="2" fillId="0" borderId="17" xfId="1" applyNumberFormat="1" applyFont="1" applyBorder="1" applyAlignment="1">
      <alignment horizontal="right" vertical="center" wrapText="1"/>
    </xf>
    <xf numFmtId="165" fontId="2" fillId="0" borderId="0" xfId="1" applyNumberFormat="1" applyFont="1" applyProtection="1">
      <protection locked="0"/>
    </xf>
    <xf numFmtId="165" fontId="3" fillId="0" borderId="2" xfId="1" applyNumberFormat="1" applyFont="1" applyBorder="1"/>
    <xf numFmtId="165" fontId="1" fillId="0" borderId="14" xfId="1" applyNumberFormat="1" applyBorder="1"/>
    <xf numFmtId="164" fontId="2" fillId="0" borderId="5" xfId="1" applyFont="1" applyBorder="1"/>
    <xf numFmtId="170" fontId="2" fillId="0" borderId="15" xfId="3" applyFont="1" applyBorder="1"/>
    <xf numFmtId="3" fontId="2" fillId="0" borderId="5" xfId="3" applyNumberFormat="1" applyFont="1" applyBorder="1"/>
    <xf numFmtId="165" fontId="2" fillId="0" borderId="15" xfId="3" applyNumberFormat="1" applyFont="1" applyBorder="1"/>
    <xf numFmtId="165" fontId="2" fillId="0" borderId="18" xfId="3" applyNumberFormat="1" applyFont="1" applyBorder="1"/>
    <xf numFmtId="165" fontId="2" fillId="0" borderId="2" xfId="1" applyNumberFormat="1" applyFont="1" applyBorder="1"/>
    <xf numFmtId="165" fontId="2" fillId="0" borderId="6" xfId="1" applyNumberFormat="1" applyFont="1" applyBorder="1"/>
    <xf numFmtId="165" fontId="2" fillId="0" borderId="15" xfId="1" applyNumberFormat="1" applyFont="1" applyBorder="1"/>
    <xf numFmtId="165" fontId="2" fillId="0" borderId="5" xfId="1" applyNumberFormat="1" applyFont="1" applyBorder="1" applyProtection="1">
      <protection locked="0"/>
    </xf>
    <xf numFmtId="167" fontId="2" fillId="0" borderId="6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Protection="1">
      <protection locked="0"/>
    </xf>
    <xf numFmtId="164" fontId="3" fillId="0" borderId="2" xfId="1" applyFont="1" applyBorder="1" applyAlignment="1" applyProtection="1">
      <alignment horizontal="left"/>
      <protection locked="0"/>
    </xf>
    <xf numFmtId="3" fontId="2" fillId="0" borderId="2" xfId="1" applyNumberFormat="1" applyFont="1" applyBorder="1" applyProtection="1">
      <protection locked="0"/>
    </xf>
    <xf numFmtId="165" fontId="2" fillId="0" borderId="2" xfId="1" applyNumberFormat="1" applyFont="1" applyBorder="1" applyProtection="1">
      <protection locked="0"/>
    </xf>
    <xf numFmtId="3" fontId="2" fillId="0" borderId="7" xfId="1" applyNumberFormat="1" applyFont="1" applyBorder="1" applyProtection="1">
      <protection locked="0"/>
    </xf>
    <xf numFmtId="169" fontId="1" fillId="0" borderId="6" xfId="1" applyNumberFormat="1" applyBorder="1"/>
    <xf numFmtId="165" fontId="2" fillId="0" borderId="7" xfId="1" applyNumberFormat="1" applyFont="1" applyBorder="1" applyProtection="1">
      <protection locked="0"/>
    </xf>
    <xf numFmtId="165" fontId="2" fillId="0" borderId="3" xfId="1" applyNumberFormat="1" applyFont="1" applyBorder="1" applyProtection="1">
      <protection locked="0"/>
    </xf>
    <xf numFmtId="167" fontId="3" fillId="0" borderId="3" xfId="1" applyNumberFormat="1" applyFont="1" applyBorder="1" applyAlignment="1">
      <alignment horizontal="right" vertical="center" wrapText="1"/>
    </xf>
    <xf numFmtId="165" fontId="3" fillId="0" borderId="9" xfId="1" applyNumberFormat="1" applyFont="1" applyBorder="1" applyProtection="1">
      <protection locked="0"/>
    </xf>
    <xf numFmtId="165" fontId="3" fillId="0" borderId="2" xfId="1" applyNumberFormat="1" applyFont="1" applyBorder="1" applyProtection="1">
      <protection locked="0"/>
    </xf>
    <xf numFmtId="165" fontId="3" fillId="0" borderId="3" xfId="1" applyNumberFormat="1" applyFont="1" applyBorder="1" applyProtection="1">
      <protection locked="0"/>
    </xf>
    <xf numFmtId="165" fontId="1" fillId="0" borderId="3" xfId="1" applyNumberFormat="1" applyBorder="1"/>
    <xf numFmtId="165" fontId="3" fillId="0" borderId="8" xfId="1" applyNumberFormat="1" applyFont="1" applyBorder="1" applyAlignment="1">
      <alignment wrapText="1"/>
    </xf>
    <xf numFmtId="169" fontId="1" fillId="0" borderId="7" xfId="1" applyNumberFormat="1" applyBorder="1"/>
    <xf numFmtId="168" fontId="1" fillId="0" borderId="7" xfId="1" applyNumberFormat="1" applyBorder="1"/>
    <xf numFmtId="167" fontId="3" fillId="0" borderId="19" xfId="1" applyNumberFormat="1" applyFont="1" applyBorder="1" applyAlignment="1">
      <alignment horizontal="right" vertical="center" wrapText="1"/>
    </xf>
    <xf numFmtId="167" fontId="3" fillId="0" borderId="2" xfId="1" applyNumberFormat="1" applyFont="1" applyBorder="1" applyAlignment="1">
      <alignment horizontal="right" vertical="center" wrapText="1"/>
    </xf>
    <xf numFmtId="165" fontId="3" fillId="0" borderId="10" xfId="1" applyNumberFormat="1" applyFont="1" applyBorder="1" applyProtection="1">
      <protection locked="0"/>
    </xf>
    <xf numFmtId="165" fontId="1" fillId="0" borderId="10" xfId="1" applyNumberFormat="1" applyBorder="1"/>
    <xf numFmtId="167" fontId="3" fillId="0" borderId="20" xfId="1" applyNumberFormat="1" applyFont="1" applyBorder="1" applyAlignment="1">
      <alignment horizontal="right" vertical="center" wrapText="1"/>
    </xf>
    <xf numFmtId="167" fontId="3" fillId="0" borderId="8" xfId="1" applyNumberFormat="1" applyFont="1" applyBorder="1" applyAlignment="1">
      <alignment horizontal="right" vertical="center" wrapText="1"/>
    </xf>
    <xf numFmtId="164" fontId="3" fillId="0" borderId="21" xfId="1" applyFont="1" applyBorder="1" applyAlignment="1" applyProtection="1">
      <alignment horizontal="left"/>
      <protection locked="0"/>
    </xf>
    <xf numFmtId="164" fontId="3" fillId="0" borderId="21" xfId="1" applyFont="1" applyBorder="1" applyProtection="1">
      <protection locked="0"/>
    </xf>
    <xf numFmtId="3" fontId="3" fillId="0" borderId="21" xfId="1" applyNumberFormat="1" applyFont="1" applyBorder="1" applyProtection="1">
      <protection locked="0"/>
    </xf>
    <xf numFmtId="165" fontId="3" fillId="0" borderId="21" xfId="1" applyNumberFormat="1" applyFont="1" applyBorder="1" applyProtection="1">
      <protection locked="0"/>
    </xf>
    <xf numFmtId="165" fontId="3" fillId="0" borderId="21" xfId="1" applyNumberFormat="1" applyFont="1" applyBorder="1"/>
    <xf numFmtId="165" fontId="1" fillId="0" borderId="21" xfId="1" applyNumberFormat="1" applyBorder="1"/>
    <xf numFmtId="165" fontId="3" fillId="0" borderId="21" xfId="1" applyNumberFormat="1" applyFont="1" applyBorder="1" applyAlignment="1">
      <alignment wrapText="1"/>
    </xf>
    <xf numFmtId="169" fontId="1" fillId="0" borderId="21" xfId="1" applyNumberFormat="1" applyBorder="1"/>
    <xf numFmtId="168" fontId="1" fillId="0" borderId="21" xfId="1" applyNumberFormat="1" applyBorder="1"/>
    <xf numFmtId="167" fontId="3" fillId="0" borderId="21" xfId="1" applyNumberFormat="1" applyFont="1" applyBorder="1" applyAlignment="1">
      <alignment horizontal="right" vertical="center" wrapText="1"/>
    </xf>
    <xf numFmtId="164" fontId="3" fillId="0" borderId="8" xfId="1" applyFont="1" applyBorder="1"/>
    <xf numFmtId="3" fontId="3" fillId="0" borderId="0" xfId="1" applyNumberFormat="1" applyFont="1"/>
    <xf numFmtId="165" fontId="3" fillId="0" borderId="0" xfId="1" applyNumberFormat="1" applyFont="1"/>
    <xf numFmtId="166" fontId="3" fillId="0" borderId="0" xfId="1" applyNumberFormat="1" applyFont="1"/>
    <xf numFmtId="3" fontId="2" fillId="0" borderId="14" xfId="1" applyNumberFormat="1" applyFont="1" applyBorder="1" applyAlignment="1">
      <alignment wrapText="1"/>
    </xf>
    <xf numFmtId="165" fontId="2" fillId="0" borderId="14" xfId="1" applyNumberFormat="1" applyFont="1" applyBorder="1" applyAlignment="1">
      <alignment wrapText="1"/>
    </xf>
    <xf numFmtId="3" fontId="2" fillId="0" borderId="22" xfId="1" applyNumberFormat="1" applyFont="1" applyBorder="1" applyAlignment="1">
      <alignment wrapText="1"/>
    </xf>
    <xf numFmtId="165" fontId="2" fillId="0" borderId="18" xfId="1" applyNumberFormat="1" applyFont="1" applyBorder="1" applyAlignment="1">
      <alignment wrapText="1"/>
    </xf>
    <xf numFmtId="165" fontId="2" fillId="0" borderId="22" xfId="1" applyNumberFormat="1" applyFont="1" applyBorder="1" applyAlignment="1">
      <alignment wrapText="1"/>
    </xf>
    <xf numFmtId="167" fontId="2" fillId="0" borderId="14" xfId="1" applyNumberFormat="1" applyFont="1" applyBorder="1" applyAlignment="1">
      <alignment horizontal="right" vertical="center" wrapText="1"/>
    </xf>
    <xf numFmtId="164" fontId="2" fillId="0" borderId="11" xfId="1" applyFont="1" applyBorder="1" applyAlignment="1">
      <alignment horizontal="center" vertical="center" wrapText="1"/>
    </xf>
    <xf numFmtId="164" fontId="2" fillId="0" borderId="12" xfId="1" applyFont="1" applyBorder="1" applyAlignment="1">
      <alignment horizontal="center" vertical="center" wrapText="1"/>
    </xf>
    <xf numFmtId="3" fontId="2" fillId="0" borderId="23" xfId="1" applyNumberFormat="1" applyFont="1" applyBorder="1" applyAlignment="1">
      <alignment horizontal="center" vertical="center" wrapText="1"/>
    </xf>
    <xf numFmtId="164" fontId="2" fillId="0" borderId="16" xfId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vertical="center" wrapText="1"/>
    </xf>
    <xf numFmtId="165" fontId="2" fillId="0" borderId="23" xfId="1" applyNumberFormat="1" applyFont="1" applyBorder="1" applyAlignment="1">
      <alignment horizontal="center" vertical="center" wrapText="1"/>
    </xf>
    <xf numFmtId="164" fontId="2" fillId="0" borderId="23" xfId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6" fontId="2" fillId="0" borderId="16" xfId="1" applyNumberFormat="1" applyFont="1" applyBorder="1" applyAlignment="1">
      <alignment horizontal="center" vertical="center" wrapText="1"/>
    </xf>
    <xf numFmtId="166" fontId="2" fillId="0" borderId="23" xfId="1" applyNumberFormat="1" applyFont="1" applyBorder="1" applyAlignment="1">
      <alignment horizontal="center" vertical="center" wrapText="1"/>
    </xf>
    <xf numFmtId="165" fontId="4" fillId="0" borderId="16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7" fontId="2" fillId="0" borderId="16" xfId="1" applyNumberFormat="1" applyFont="1" applyBorder="1" applyAlignment="1">
      <alignment horizontal="center" vertical="center" wrapText="1"/>
    </xf>
    <xf numFmtId="167" fontId="2" fillId="0" borderId="23" xfId="1" applyNumberFormat="1" applyFont="1" applyBorder="1" applyAlignment="1">
      <alignment horizontal="center" vertical="center" wrapText="1"/>
    </xf>
    <xf numFmtId="164" fontId="2" fillId="0" borderId="17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top" wrapText="1"/>
    </xf>
    <xf numFmtId="165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22" xfId="1" applyFont="1" applyBorder="1" applyAlignment="1">
      <alignment horizontal="center" vertical="top" wrapText="1"/>
    </xf>
  </cellXfs>
  <cellStyles count="4">
    <cellStyle name="Excel Built-in Normal" xfId="1" xr:uid="{F4328779-06B5-4F73-8A4B-9BFC0E7CA33C}"/>
    <cellStyle name="Millares 3" xfId="3" xr:uid="{4DFD89E1-1A58-42D6-A69F-56C9A47F98CE}"/>
    <cellStyle name="Normal" xfId="0" builtinId="0"/>
    <cellStyle name="Normal 2" xfId="2" xr:uid="{8A183E58-D675-416F-B280-A74E245D7F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0</xdr:row>
      <xdr:rowOff>360</xdr:rowOff>
    </xdr:from>
    <xdr:ext cx="1352880" cy="28080"/>
    <xdr:pic>
      <xdr:nvPicPr>
        <xdr:cNvPr id="2" name="Picture 1">
          <a:extLst>
            <a:ext uri="{FF2B5EF4-FFF2-40B4-BE49-F238E27FC236}">
              <a16:creationId xmlns:a16="http://schemas.microsoft.com/office/drawing/2014/main" id="{3AC5CDC2-509D-4868-84B7-F25EFEADF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360"/>
          <a:ext cx="135288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44</xdr:row>
      <xdr:rowOff>144360</xdr:rowOff>
    </xdr:from>
    <xdr:ext cx="1352880" cy="57240"/>
    <xdr:pic>
      <xdr:nvPicPr>
        <xdr:cNvPr id="3" name="Picture 1">
          <a:extLst>
            <a:ext uri="{FF2B5EF4-FFF2-40B4-BE49-F238E27FC236}">
              <a16:creationId xmlns:a16="http://schemas.microsoft.com/office/drawing/2014/main" id="{3566AEFA-4C94-4C2C-94B7-C3F16CB5D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9221685"/>
          <a:ext cx="135288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40</xdr:row>
      <xdr:rowOff>144000</xdr:rowOff>
    </xdr:from>
    <xdr:ext cx="1352880" cy="57960"/>
    <xdr:pic>
      <xdr:nvPicPr>
        <xdr:cNvPr id="4" name="Picture 1">
          <a:extLst>
            <a:ext uri="{FF2B5EF4-FFF2-40B4-BE49-F238E27FC236}">
              <a16:creationId xmlns:a16="http://schemas.microsoft.com/office/drawing/2014/main" id="{AFAD06F7-4777-487C-8AAF-5B4A1EE6D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8421225"/>
          <a:ext cx="135288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42</xdr:row>
      <xdr:rowOff>144360</xdr:rowOff>
    </xdr:from>
    <xdr:ext cx="1352880" cy="57240"/>
    <xdr:pic>
      <xdr:nvPicPr>
        <xdr:cNvPr id="5" name="Picture 1">
          <a:extLst>
            <a:ext uri="{FF2B5EF4-FFF2-40B4-BE49-F238E27FC236}">
              <a16:creationId xmlns:a16="http://schemas.microsoft.com/office/drawing/2014/main" id="{2010343C-5589-4306-A9BE-A1CAFA6F0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8821635"/>
          <a:ext cx="135288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352880" cy="57960"/>
    <xdr:pic>
      <xdr:nvPicPr>
        <xdr:cNvPr id="6" name="Picture 1">
          <a:extLst>
            <a:ext uri="{FF2B5EF4-FFF2-40B4-BE49-F238E27FC236}">
              <a16:creationId xmlns:a16="http://schemas.microsoft.com/office/drawing/2014/main" id="{2DE898FD-B19B-43A2-BB65-E1E8B0343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35288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44</xdr:row>
      <xdr:rowOff>144360</xdr:rowOff>
    </xdr:from>
    <xdr:ext cx="1352880" cy="57240"/>
    <xdr:pic>
      <xdr:nvPicPr>
        <xdr:cNvPr id="7" name="Picture 1">
          <a:extLst>
            <a:ext uri="{FF2B5EF4-FFF2-40B4-BE49-F238E27FC236}">
              <a16:creationId xmlns:a16="http://schemas.microsoft.com/office/drawing/2014/main" id="{D00731E2-51FC-4DE9-AC34-9ADB5B2B7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9221685"/>
          <a:ext cx="135288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40</xdr:row>
      <xdr:rowOff>144000</xdr:rowOff>
    </xdr:from>
    <xdr:ext cx="1352880" cy="57960"/>
    <xdr:pic>
      <xdr:nvPicPr>
        <xdr:cNvPr id="8" name="Picture 1">
          <a:extLst>
            <a:ext uri="{FF2B5EF4-FFF2-40B4-BE49-F238E27FC236}">
              <a16:creationId xmlns:a16="http://schemas.microsoft.com/office/drawing/2014/main" id="{040DDE3B-E39C-4B64-A5F0-E713C61F3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8421225"/>
          <a:ext cx="135288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42</xdr:row>
      <xdr:rowOff>144360</xdr:rowOff>
    </xdr:from>
    <xdr:ext cx="1352880" cy="57240"/>
    <xdr:pic>
      <xdr:nvPicPr>
        <xdr:cNvPr id="9" name="Picture 1">
          <a:extLst>
            <a:ext uri="{FF2B5EF4-FFF2-40B4-BE49-F238E27FC236}">
              <a16:creationId xmlns:a16="http://schemas.microsoft.com/office/drawing/2014/main" id="{ADA1B5CF-CADB-405D-A074-8FD4B15B5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8821635"/>
          <a:ext cx="135288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352880" cy="57240"/>
    <xdr:pic>
      <xdr:nvPicPr>
        <xdr:cNvPr id="10" name="Picture 1">
          <a:extLst>
            <a:ext uri="{FF2B5EF4-FFF2-40B4-BE49-F238E27FC236}">
              <a16:creationId xmlns:a16="http://schemas.microsoft.com/office/drawing/2014/main" id="{06018A92-64F8-4143-A743-9C555E911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35288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44</xdr:row>
      <xdr:rowOff>144360</xdr:rowOff>
    </xdr:from>
    <xdr:ext cx="1352880" cy="57240"/>
    <xdr:pic>
      <xdr:nvPicPr>
        <xdr:cNvPr id="11" name="Picture 1">
          <a:extLst>
            <a:ext uri="{FF2B5EF4-FFF2-40B4-BE49-F238E27FC236}">
              <a16:creationId xmlns:a16="http://schemas.microsoft.com/office/drawing/2014/main" id="{585D7B90-B871-4725-925D-804F2781D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9221685"/>
          <a:ext cx="135288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40</xdr:row>
      <xdr:rowOff>144000</xdr:rowOff>
    </xdr:from>
    <xdr:ext cx="1352880" cy="57960"/>
    <xdr:pic>
      <xdr:nvPicPr>
        <xdr:cNvPr id="12" name="Picture 1">
          <a:extLst>
            <a:ext uri="{FF2B5EF4-FFF2-40B4-BE49-F238E27FC236}">
              <a16:creationId xmlns:a16="http://schemas.microsoft.com/office/drawing/2014/main" id="{790BB8D4-EC55-412C-A549-3406C695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8421225"/>
          <a:ext cx="135288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352880" cy="57240"/>
    <xdr:pic>
      <xdr:nvPicPr>
        <xdr:cNvPr id="13" name="Picture 1">
          <a:extLst>
            <a:ext uri="{FF2B5EF4-FFF2-40B4-BE49-F238E27FC236}">
              <a16:creationId xmlns:a16="http://schemas.microsoft.com/office/drawing/2014/main" id="{1FB21BD1-D421-42A7-ACA6-E1F75EC58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35288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56</xdr:row>
      <xdr:rowOff>144360</xdr:rowOff>
    </xdr:from>
    <xdr:ext cx="1294920" cy="57240"/>
    <xdr:pic>
      <xdr:nvPicPr>
        <xdr:cNvPr id="14" name="Picture 1">
          <a:extLst>
            <a:ext uri="{FF2B5EF4-FFF2-40B4-BE49-F238E27FC236}">
              <a16:creationId xmlns:a16="http://schemas.microsoft.com/office/drawing/2014/main" id="{0EE42AD5-6C9C-457D-995D-DE887C413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517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56</xdr:row>
      <xdr:rowOff>144360</xdr:rowOff>
    </xdr:from>
    <xdr:ext cx="1294920" cy="57240"/>
    <xdr:pic>
      <xdr:nvPicPr>
        <xdr:cNvPr id="15" name="Picture 1">
          <a:extLst>
            <a:ext uri="{FF2B5EF4-FFF2-40B4-BE49-F238E27FC236}">
              <a16:creationId xmlns:a16="http://schemas.microsoft.com/office/drawing/2014/main" id="{BEDE1CA9-602C-4232-A013-4348946DE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517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56</xdr:row>
      <xdr:rowOff>144360</xdr:rowOff>
    </xdr:from>
    <xdr:ext cx="1294920" cy="57240"/>
    <xdr:pic>
      <xdr:nvPicPr>
        <xdr:cNvPr id="16" name="Picture 1">
          <a:extLst>
            <a:ext uri="{FF2B5EF4-FFF2-40B4-BE49-F238E27FC236}">
              <a16:creationId xmlns:a16="http://schemas.microsoft.com/office/drawing/2014/main" id="{57FDBAB5-62E0-4C51-B9DA-71AD30E20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517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57</xdr:row>
      <xdr:rowOff>144360</xdr:rowOff>
    </xdr:from>
    <xdr:ext cx="1294920" cy="57240"/>
    <xdr:pic>
      <xdr:nvPicPr>
        <xdr:cNvPr id="17" name="Picture 1">
          <a:extLst>
            <a:ext uri="{FF2B5EF4-FFF2-40B4-BE49-F238E27FC236}">
              <a16:creationId xmlns:a16="http://schemas.microsoft.com/office/drawing/2014/main" id="{145B3474-1898-4EEC-B653-BC3CFACCE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707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57</xdr:row>
      <xdr:rowOff>144360</xdr:rowOff>
    </xdr:from>
    <xdr:ext cx="1294920" cy="57240"/>
    <xdr:pic>
      <xdr:nvPicPr>
        <xdr:cNvPr id="18" name="Picture 1">
          <a:extLst>
            <a:ext uri="{FF2B5EF4-FFF2-40B4-BE49-F238E27FC236}">
              <a16:creationId xmlns:a16="http://schemas.microsoft.com/office/drawing/2014/main" id="{CD6FD249-1303-4480-A6BD-4EF5BC3E0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707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58</xdr:row>
      <xdr:rowOff>144000</xdr:rowOff>
    </xdr:from>
    <xdr:ext cx="1294920" cy="57960"/>
    <xdr:pic>
      <xdr:nvPicPr>
        <xdr:cNvPr id="19" name="Picture 1">
          <a:extLst>
            <a:ext uri="{FF2B5EF4-FFF2-40B4-BE49-F238E27FC236}">
              <a16:creationId xmlns:a16="http://schemas.microsoft.com/office/drawing/2014/main" id="{E30FA054-18A0-42E6-978F-237657783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8978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59</xdr:row>
      <xdr:rowOff>144360</xdr:rowOff>
    </xdr:from>
    <xdr:ext cx="1294920" cy="57240"/>
    <xdr:pic>
      <xdr:nvPicPr>
        <xdr:cNvPr id="20" name="Picture 1">
          <a:extLst>
            <a:ext uri="{FF2B5EF4-FFF2-40B4-BE49-F238E27FC236}">
              <a16:creationId xmlns:a16="http://schemas.microsoft.com/office/drawing/2014/main" id="{A626A16F-86B8-4A16-B31B-7BF3FF4CB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088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59</xdr:row>
      <xdr:rowOff>144360</xdr:rowOff>
    </xdr:from>
    <xdr:ext cx="1294920" cy="57240"/>
    <xdr:pic>
      <xdr:nvPicPr>
        <xdr:cNvPr id="21" name="Picture 1">
          <a:extLst>
            <a:ext uri="{FF2B5EF4-FFF2-40B4-BE49-F238E27FC236}">
              <a16:creationId xmlns:a16="http://schemas.microsoft.com/office/drawing/2014/main" id="{783B5EA1-EADD-4132-9342-AD1D49BB0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088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60</xdr:row>
      <xdr:rowOff>144360</xdr:rowOff>
    </xdr:from>
    <xdr:ext cx="1294920" cy="57240"/>
    <xdr:pic>
      <xdr:nvPicPr>
        <xdr:cNvPr id="22" name="Picture 1">
          <a:extLst>
            <a:ext uri="{FF2B5EF4-FFF2-40B4-BE49-F238E27FC236}">
              <a16:creationId xmlns:a16="http://schemas.microsoft.com/office/drawing/2014/main" id="{23E5C78F-45E1-459D-A0EB-25314CF72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279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60</xdr:row>
      <xdr:rowOff>144360</xdr:rowOff>
    </xdr:from>
    <xdr:ext cx="1294920" cy="57240"/>
    <xdr:pic>
      <xdr:nvPicPr>
        <xdr:cNvPr id="23" name="Picture 1">
          <a:extLst>
            <a:ext uri="{FF2B5EF4-FFF2-40B4-BE49-F238E27FC236}">
              <a16:creationId xmlns:a16="http://schemas.microsoft.com/office/drawing/2014/main" id="{7719811F-D77F-414A-A766-8CCA9D208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279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60</xdr:row>
      <xdr:rowOff>144360</xdr:rowOff>
    </xdr:from>
    <xdr:ext cx="1294920" cy="57240"/>
    <xdr:pic>
      <xdr:nvPicPr>
        <xdr:cNvPr id="24" name="Picture 1">
          <a:extLst>
            <a:ext uri="{FF2B5EF4-FFF2-40B4-BE49-F238E27FC236}">
              <a16:creationId xmlns:a16="http://schemas.microsoft.com/office/drawing/2014/main" id="{A700EC71-4BA6-476A-B4FC-096CBD916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279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61</xdr:row>
      <xdr:rowOff>144000</xdr:rowOff>
    </xdr:from>
    <xdr:ext cx="1294920" cy="57960"/>
    <xdr:pic>
      <xdr:nvPicPr>
        <xdr:cNvPr id="25" name="Picture 1">
          <a:extLst>
            <a:ext uri="{FF2B5EF4-FFF2-40B4-BE49-F238E27FC236}">
              <a16:creationId xmlns:a16="http://schemas.microsoft.com/office/drawing/2014/main" id="{7D8E1D4F-72D4-4850-AB0A-260DDBBD0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469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62</xdr:row>
      <xdr:rowOff>144360</xdr:rowOff>
    </xdr:from>
    <xdr:ext cx="1294920" cy="57240"/>
    <xdr:pic>
      <xdr:nvPicPr>
        <xdr:cNvPr id="26" name="Picture 1">
          <a:extLst>
            <a:ext uri="{FF2B5EF4-FFF2-40B4-BE49-F238E27FC236}">
              <a16:creationId xmlns:a16="http://schemas.microsoft.com/office/drawing/2014/main" id="{06BDBD9E-F224-4014-A07C-44E9748E4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660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62</xdr:row>
      <xdr:rowOff>144360</xdr:rowOff>
    </xdr:from>
    <xdr:ext cx="1294920" cy="57240"/>
    <xdr:pic>
      <xdr:nvPicPr>
        <xdr:cNvPr id="27" name="Picture 1">
          <a:extLst>
            <a:ext uri="{FF2B5EF4-FFF2-40B4-BE49-F238E27FC236}">
              <a16:creationId xmlns:a16="http://schemas.microsoft.com/office/drawing/2014/main" id="{2EA07BD1-7DE9-44CA-B279-12034AAD1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660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63</xdr:row>
      <xdr:rowOff>144000</xdr:rowOff>
    </xdr:from>
    <xdr:ext cx="1294920" cy="57960"/>
    <xdr:pic>
      <xdr:nvPicPr>
        <xdr:cNvPr id="28" name="Picture 1">
          <a:extLst>
            <a:ext uri="{FF2B5EF4-FFF2-40B4-BE49-F238E27FC236}">
              <a16:creationId xmlns:a16="http://schemas.microsoft.com/office/drawing/2014/main" id="{02910861-F6C0-4EBA-8836-6EAA8365A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850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65</xdr:row>
      <xdr:rowOff>144360</xdr:rowOff>
    </xdr:from>
    <xdr:ext cx="1294920" cy="57240"/>
    <xdr:pic>
      <xdr:nvPicPr>
        <xdr:cNvPr id="29" name="Picture 1">
          <a:extLst>
            <a:ext uri="{FF2B5EF4-FFF2-40B4-BE49-F238E27FC236}">
              <a16:creationId xmlns:a16="http://schemas.microsoft.com/office/drawing/2014/main" id="{4383A01A-9D72-4A97-B0A3-DC1E2FF11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231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65</xdr:row>
      <xdr:rowOff>144360</xdr:rowOff>
    </xdr:from>
    <xdr:ext cx="1294920" cy="57240"/>
    <xdr:pic>
      <xdr:nvPicPr>
        <xdr:cNvPr id="30" name="Picture 1">
          <a:extLst>
            <a:ext uri="{FF2B5EF4-FFF2-40B4-BE49-F238E27FC236}">
              <a16:creationId xmlns:a16="http://schemas.microsoft.com/office/drawing/2014/main" id="{0F513282-D4BD-43B6-9BAA-22BCC8332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231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66</xdr:row>
      <xdr:rowOff>144000</xdr:rowOff>
    </xdr:from>
    <xdr:ext cx="1294920" cy="57960"/>
    <xdr:pic>
      <xdr:nvPicPr>
        <xdr:cNvPr id="31" name="Picture 1">
          <a:extLst>
            <a:ext uri="{FF2B5EF4-FFF2-40B4-BE49-F238E27FC236}">
              <a16:creationId xmlns:a16="http://schemas.microsoft.com/office/drawing/2014/main" id="{39923E37-AB71-4720-92F6-1B34F6651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4313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66</xdr:row>
      <xdr:rowOff>144000</xdr:rowOff>
    </xdr:from>
    <xdr:ext cx="1294920" cy="57960"/>
    <xdr:pic>
      <xdr:nvPicPr>
        <xdr:cNvPr id="32" name="Picture 1">
          <a:extLst>
            <a:ext uri="{FF2B5EF4-FFF2-40B4-BE49-F238E27FC236}">
              <a16:creationId xmlns:a16="http://schemas.microsoft.com/office/drawing/2014/main" id="{4E8E4B14-E31F-43D6-AADE-605A48292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4313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66</xdr:row>
      <xdr:rowOff>144000</xdr:rowOff>
    </xdr:from>
    <xdr:ext cx="1294920" cy="57960"/>
    <xdr:pic>
      <xdr:nvPicPr>
        <xdr:cNvPr id="33" name="Picture 1">
          <a:extLst>
            <a:ext uri="{FF2B5EF4-FFF2-40B4-BE49-F238E27FC236}">
              <a16:creationId xmlns:a16="http://schemas.microsoft.com/office/drawing/2014/main" id="{14C41962-4D5C-4B14-99AC-A26A92991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4313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67</xdr:row>
      <xdr:rowOff>144360</xdr:rowOff>
    </xdr:from>
    <xdr:ext cx="1294920" cy="57240"/>
    <xdr:pic>
      <xdr:nvPicPr>
        <xdr:cNvPr id="34" name="Picture 1">
          <a:extLst>
            <a:ext uri="{FF2B5EF4-FFF2-40B4-BE49-F238E27FC236}">
              <a16:creationId xmlns:a16="http://schemas.microsoft.com/office/drawing/2014/main" id="{CE027C5F-E10B-4CB5-ACDA-D590AFC0E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63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67</xdr:row>
      <xdr:rowOff>144360</xdr:rowOff>
    </xdr:from>
    <xdr:ext cx="1294920" cy="57240"/>
    <xdr:pic>
      <xdr:nvPicPr>
        <xdr:cNvPr id="35" name="Picture 1">
          <a:extLst>
            <a:ext uri="{FF2B5EF4-FFF2-40B4-BE49-F238E27FC236}">
              <a16:creationId xmlns:a16="http://schemas.microsoft.com/office/drawing/2014/main" id="{3BF9A8D8-1C53-4CBD-8BBE-C6B53706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63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67</xdr:row>
      <xdr:rowOff>144360</xdr:rowOff>
    </xdr:from>
    <xdr:ext cx="1294920" cy="57240"/>
    <xdr:pic>
      <xdr:nvPicPr>
        <xdr:cNvPr id="36" name="Picture 1">
          <a:extLst>
            <a:ext uri="{FF2B5EF4-FFF2-40B4-BE49-F238E27FC236}">
              <a16:creationId xmlns:a16="http://schemas.microsoft.com/office/drawing/2014/main" id="{2742CA99-5C42-47CA-9A4D-C2F78DC16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63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68</xdr:row>
      <xdr:rowOff>144360</xdr:rowOff>
    </xdr:from>
    <xdr:ext cx="1294920" cy="57240"/>
    <xdr:pic>
      <xdr:nvPicPr>
        <xdr:cNvPr id="37" name="Picture 1">
          <a:extLst>
            <a:ext uri="{FF2B5EF4-FFF2-40B4-BE49-F238E27FC236}">
              <a16:creationId xmlns:a16="http://schemas.microsoft.com/office/drawing/2014/main" id="{AF61A6FC-DA27-4370-BEEC-D233E336B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8317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68</xdr:row>
      <xdr:rowOff>144360</xdr:rowOff>
    </xdr:from>
    <xdr:ext cx="1294920" cy="57240"/>
    <xdr:pic>
      <xdr:nvPicPr>
        <xdr:cNvPr id="38" name="Picture 1">
          <a:extLst>
            <a:ext uri="{FF2B5EF4-FFF2-40B4-BE49-F238E27FC236}">
              <a16:creationId xmlns:a16="http://schemas.microsoft.com/office/drawing/2014/main" id="{AD967E02-AFB0-4822-8A13-FF53B4C6B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8317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68</xdr:row>
      <xdr:rowOff>144360</xdr:rowOff>
    </xdr:from>
    <xdr:ext cx="1294920" cy="57240"/>
    <xdr:pic>
      <xdr:nvPicPr>
        <xdr:cNvPr id="39" name="Picture 1">
          <a:extLst>
            <a:ext uri="{FF2B5EF4-FFF2-40B4-BE49-F238E27FC236}">
              <a16:creationId xmlns:a16="http://schemas.microsoft.com/office/drawing/2014/main" id="{0D43DDEA-1AA3-45C2-908B-C4F2B02B0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8317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69</xdr:row>
      <xdr:rowOff>144000</xdr:rowOff>
    </xdr:from>
    <xdr:ext cx="1294920" cy="57240"/>
    <xdr:pic>
      <xdr:nvPicPr>
        <xdr:cNvPr id="40" name="Picture 1">
          <a:extLst>
            <a:ext uri="{FF2B5EF4-FFF2-40B4-BE49-F238E27FC236}">
              <a16:creationId xmlns:a16="http://schemas.microsoft.com/office/drawing/2014/main" id="{72F7A6D0-9CF7-4720-8AD8-19064C3C8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03145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69</xdr:row>
      <xdr:rowOff>144000</xdr:rowOff>
    </xdr:from>
    <xdr:ext cx="1294920" cy="57240"/>
    <xdr:pic>
      <xdr:nvPicPr>
        <xdr:cNvPr id="41" name="Picture 1">
          <a:extLst>
            <a:ext uri="{FF2B5EF4-FFF2-40B4-BE49-F238E27FC236}">
              <a16:creationId xmlns:a16="http://schemas.microsoft.com/office/drawing/2014/main" id="{66C53210-5FD9-454C-9F7D-694811BE1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03145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69</xdr:row>
      <xdr:rowOff>144000</xdr:rowOff>
    </xdr:from>
    <xdr:ext cx="1294920" cy="57240"/>
    <xdr:pic>
      <xdr:nvPicPr>
        <xdr:cNvPr id="42" name="Picture 1">
          <a:extLst>
            <a:ext uri="{FF2B5EF4-FFF2-40B4-BE49-F238E27FC236}">
              <a16:creationId xmlns:a16="http://schemas.microsoft.com/office/drawing/2014/main" id="{87E20BDC-B5CD-4EF5-8D76-B263564BB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03145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294920" cy="57240"/>
    <xdr:pic>
      <xdr:nvPicPr>
        <xdr:cNvPr id="43" name="Picture 1">
          <a:extLst>
            <a:ext uri="{FF2B5EF4-FFF2-40B4-BE49-F238E27FC236}">
              <a16:creationId xmlns:a16="http://schemas.microsoft.com/office/drawing/2014/main" id="{A3ED1F08-9B59-4C34-AF54-483216D3A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294920" cy="57240"/>
    <xdr:pic>
      <xdr:nvPicPr>
        <xdr:cNvPr id="44" name="Picture 1">
          <a:extLst>
            <a:ext uri="{FF2B5EF4-FFF2-40B4-BE49-F238E27FC236}">
              <a16:creationId xmlns:a16="http://schemas.microsoft.com/office/drawing/2014/main" id="{789B0B4B-618B-4AC5-9E90-A6FB9ACAC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294920" cy="57240"/>
    <xdr:pic>
      <xdr:nvPicPr>
        <xdr:cNvPr id="45" name="Picture 1">
          <a:extLst>
            <a:ext uri="{FF2B5EF4-FFF2-40B4-BE49-F238E27FC236}">
              <a16:creationId xmlns:a16="http://schemas.microsoft.com/office/drawing/2014/main" id="{A3221AAE-9F9B-4C6B-9557-82AFA9BA1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294920" cy="57960"/>
    <xdr:pic>
      <xdr:nvPicPr>
        <xdr:cNvPr id="46" name="Picture 1">
          <a:extLst>
            <a:ext uri="{FF2B5EF4-FFF2-40B4-BE49-F238E27FC236}">
              <a16:creationId xmlns:a16="http://schemas.microsoft.com/office/drawing/2014/main" id="{DB08B437-0136-462D-988B-D12B8986C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294920" cy="57960"/>
    <xdr:pic>
      <xdr:nvPicPr>
        <xdr:cNvPr id="47" name="Picture 1">
          <a:extLst>
            <a:ext uri="{FF2B5EF4-FFF2-40B4-BE49-F238E27FC236}">
              <a16:creationId xmlns:a16="http://schemas.microsoft.com/office/drawing/2014/main" id="{366E4C5E-6E98-48A6-87FF-9F53AF872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294920" cy="57960"/>
    <xdr:pic>
      <xdr:nvPicPr>
        <xdr:cNvPr id="48" name="Picture 1">
          <a:extLst>
            <a:ext uri="{FF2B5EF4-FFF2-40B4-BE49-F238E27FC236}">
              <a16:creationId xmlns:a16="http://schemas.microsoft.com/office/drawing/2014/main" id="{333B9D5E-5A0C-4779-BF1E-8D8785DA7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72</xdr:row>
      <xdr:rowOff>144360</xdr:rowOff>
    </xdr:from>
    <xdr:ext cx="1294920" cy="57240"/>
    <xdr:pic>
      <xdr:nvPicPr>
        <xdr:cNvPr id="49" name="Picture 1">
          <a:extLst>
            <a:ext uri="{FF2B5EF4-FFF2-40B4-BE49-F238E27FC236}">
              <a16:creationId xmlns:a16="http://schemas.microsoft.com/office/drawing/2014/main" id="{C2F5FDF7-2882-456A-8997-2736115B9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6318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72</xdr:row>
      <xdr:rowOff>144360</xdr:rowOff>
    </xdr:from>
    <xdr:ext cx="1294920" cy="57240"/>
    <xdr:pic>
      <xdr:nvPicPr>
        <xdr:cNvPr id="50" name="Picture 1">
          <a:extLst>
            <a:ext uri="{FF2B5EF4-FFF2-40B4-BE49-F238E27FC236}">
              <a16:creationId xmlns:a16="http://schemas.microsoft.com/office/drawing/2014/main" id="{637D98FA-1E86-4000-91A6-D12D07607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6318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72</xdr:row>
      <xdr:rowOff>144360</xdr:rowOff>
    </xdr:from>
    <xdr:ext cx="1294920" cy="57240"/>
    <xdr:pic>
      <xdr:nvPicPr>
        <xdr:cNvPr id="51" name="Picture 1">
          <a:extLst>
            <a:ext uri="{FF2B5EF4-FFF2-40B4-BE49-F238E27FC236}">
              <a16:creationId xmlns:a16="http://schemas.microsoft.com/office/drawing/2014/main" id="{B94624FC-7BA3-4A6D-ADDF-C63C6861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6318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73</xdr:row>
      <xdr:rowOff>144360</xdr:rowOff>
    </xdr:from>
    <xdr:ext cx="1294920" cy="57240"/>
    <xdr:pic>
      <xdr:nvPicPr>
        <xdr:cNvPr id="52" name="Picture 1">
          <a:extLst>
            <a:ext uri="{FF2B5EF4-FFF2-40B4-BE49-F238E27FC236}">
              <a16:creationId xmlns:a16="http://schemas.microsoft.com/office/drawing/2014/main" id="{A1924FF1-B760-4931-B98E-1FD20F007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8319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73</xdr:row>
      <xdr:rowOff>144360</xdr:rowOff>
    </xdr:from>
    <xdr:ext cx="1294920" cy="57240"/>
    <xdr:pic>
      <xdr:nvPicPr>
        <xdr:cNvPr id="53" name="Picture 1">
          <a:extLst>
            <a:ext uri="{FF2B5EF4-FFF2-40B4-BE49-F238E27FC236}">
              <a16:creationId xmlns:a16="http://schemas.microsoft.com/office/drawing/2014/main" id="{6D6435A1-4287-4BC0-819B-C0062D4EB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8319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73</xdr:row>
      <xdr:rowOff>144360</xdr:rowOff>
    </xdr:from>
    <xdr:ext cx="1294920" cy="57240"/>
    <xdr:pic>
      <xdr:nvPicPr>
        <xdr:cNvPr id="54" name="Picture 1">
          <a:extLst>
            <a:ext uri="{FF2B5EF4-FFF2-40B4-BE49-F238E27FC236}">
              <a16:creationId xmlns:a16="http://schemas.microsoft.com/office/drawing/2014/main" id="{ADF525EC-F7DF-43D8-9135-C1D07DCC5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8319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74</xdr:row>
      <xdr:rowOff>144000</xdr:rowOff>
    </xdr:from>
    <xdr:ext cx="1294920" cy="57960"/>
    <xdr:pic>
      <xdr:nvPicPr>
        <xdr:cNvPr id="55" name="Picture 1">
          <a:extLst>
            <a:ext uri="{FF2B5EF4-FFF2-40B4-BE49-F238E27FC236}">
              <a16:creationId xmlns:a16="http://schemas.microsoft.com/office/drawing/2014/main" id="{5A22CF1D-BFDB-40A3-9938-0480BFF28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0315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74</xdr:row>
      <xdr:rowOff>144000</xdr:rowOff>
    </xdr:from>
    <xdr:ext cx="1294920" cy="57960"/>
    <xdr:pic>
      <xdr:nvPicPr>
        <xdr:cNvPr id="56" name="Picture 1">
          <a:extLst>
            <a:ext uri="{FF2B5EF4-FFF2-40B4-BE49-F238E27FC236}">
              <a16:creationId xmlns:a16="http://schemas.microsoft.com/office/drawing/2014/main" id="{C6E7B01E-97C5-4A21-A71D-337E4F09A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0315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74</xdr:row>
      <xdr:rowOff>144000</xdr:rowOff>
    </xdr:from>
    <xdr:ext cx="1294920" cy="57960"/>
    <xdr:pic>
      <xdr:nvPicPr>
        <xdr:cNvPr id="57" name="Picture 1">
          <a:extLst>
            <a:ext uri="{FF2B5EF4-FFF2-40B4-BE49-F238E27FC236}">
              <a16:creationId xmlns:a16="http://schemas.microsoft.com/office/drawing/2014/main" id="{34EE6DCC-F72A-4E1A-96EB-7CE1F352D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0315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75</xdr:row>
      <xdr:rowOff>144360</xdr:rowOff>
    </xdr:from>
    <xdr:ext cx="1294920" cy="57240"/>
    <xdr:pic>
      <xdr:nvPicPr>
        <xdr:cNvPr id="58" name="Picture 1">
          <a:extLst>
            <a:ext uri="{FF2B5EF4-FFF2-40B4-BE49-F238E27FC236}">
              <a16:creationId xmlns:a16="http://schemas.microsoft.com/office/drawing/2014/main" id="{902CEDAF-C66C-4CBF-ABD0-47DCA6E5C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2319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75</xdr:row>
      <xdr:rowOff>144360</xdr:rowOff>
    </xdr:from>
    <xdr:ext cx="1294920" cy="57240"/>
    <xdr:pic>
      <xdr:nvPicPr>
        <xdr:cNvPr id="59" name="Picture 1">
          <a:extLst>
            <a:ext uri="{FF2B5EF4-FFF2-40B4-BE49-F238E27FC236}">
              <a16:creationId xmlns:a16="http://schemas.microsoft.com/office/drawing/2014/main" id="{34EC9F35-7307-4F65-95B3-AF4F8E43D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2319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75</xdr:row>
      <xdr:rowOff>144360</xdr:rowOff>
    </xdr:from>
    <xdr:ext cx="1294920" cy="57240"/>
    <xdr:pic>
      <xdr:nvPicPr>
        <xdr:cNvPr id="60" name="Picture 1">
          <a:extLst>
            <a:ext uri="{FF2B5EF4-FFF2-40B4-BE49-F238E27FC236}">
              <a16:creationId xmlns:a16="http://schemas.microsoft.com/office/drawing/2014/main" id="{CBC6B9F3-F891-41D0-9D13-368E1B05B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2319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76</xdr:row>
      <xdr:rowOff>144000</xdr:rowOff>
    </xdr:from>
    <xdr:ext cx="1294920" cy="57960"/>
    <xdr:pic>
      <xdr:nvPicPr>
        <xdr:cNvPr id="61" name="Picture 1">
          <a:extLst>
            <a:ext uri="{FF2B5EF4-FFF2-40B4-BE49-F238E27FC236}">
              <a16:creationId xmlns:a16="http://schemas.microsoft.com/office/drawing/2014/main" id="{8371DF57-2225-4FDE-8FAA-CF0E70F83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4316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76</xdr:row>
      <xdr:rowOff>144000</xdr:rowOff>
    </xdr:from>
    <xdr:ext cx="1294920" cy="57960"/>
    <xdr:pic>
      <xdr:nvPicPr>
        <xdr:cNvPr id="62" name="Picture 1">
          <a:extLst>
            <a:ext uri="{FF2B5EF4-FFF2-40B4-BE49-F238E27FC236}">
              <a16:creationId xmlns:a16="http://schemas.microsoft.com/office/drawing/2014/main" id="{8C46A3BA-6AE6-4B1D-8BB0-A5791933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4316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76</xdr:row>
      <xdr:rowOff>144000</xdr:rowOff>
    </xdr:from>
    <xdr:ext cx="1294920" cy="57960"/>
    <xdr:pic>
      <xdr:nvPicPr>
        <xdr:cNvPr id="63" name="Picture 1">
          <a:extLst>
            <a:ext uri="{FF2B5EF4-FFF2-40B4-BE49-F238E27FC236}">
              <a16:creationId xmlns:a16="http://schemas.microsoft.com/office/drawing/2014/main" id="{0D8DB34C-1D98-4445-94A8-AA154F5F8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4316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77</xdr:row>
      <xdr:rowOff>144360</xdr:rowOff>
    </xdr:from>
    <xdr:ext cx="1294920" cy="57240"/>
    <xdr:pic>
      <xdr:nvPicPr>
        <xdr:cNvPr id="64" name="Picture 1">
          <a:extLst>
            <a:ext uri="{FF2B5EF4-FFF2-40B4-BE49-F238E27FC236}">
              <a16:creationId xmlns:a16="http://schemas.microsoft.com/office/drawing/2014/main" id="{5C51837F-AAAF-4910-9C76-DEEBEB187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6320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77</xdr:row>
      <xdr:rowOff>144360</xdr:rowOff>
    </xdr:from>
    <xdr:ext cx="1294920" cy="57240"/>
    <xdr:pic>
      <xdr:nvPicPr>
        <xdr:cNvPr id="65" name="Picture 1">
          <a:extLst>
            <a:ext uri="{FF2B5EF4-FFF2-40B4-BE49-F238E27FC236}">
              <a16:creationId xmlns:a16="http://schemas.microsoft.com/office/drawing/2014/main" id="{8707D384-CC2D-46F0-89A5-E9297F815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6320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77</xdr:row>
      <xdr:rowOff>144360</xdr:rowOff>
    </xdr:from>
    <xdr:ext cx="1294920" cy="57240"/>
    <xdr:pic>
      <xdr:nvPicPr>
        <xdr:cNvPr id="66" name="Picture 1">
          <a:extLst>
            <a:ext uri="{FF2B5EF4-FFF2-40B4-BE49-F238E27FC236}">
              <a16:creationId xmlns:a16="http://schemas.microsoft.com/office/drawing/2014/main" id="{DC9EB076-84EC-4171-8380-A5F1A842C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6320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78</xdr:row>
      <xdr:rowOff>144360</xdr:rowOff>
    </xdr:from>
    <xdr:ext cx="1294920" cy="57240"/>
    <xdr:pic>
      <xdr:nvPicPr>
        <xdr:cNvPr id="67" name="Picture 1">
          <a:extLst>
            <a:ext uri="{FF2B5EF4-FFF2-40B4-BE49-F238E27FC236}">
              <a16:creationId xmlns:a16="http://schemas.microsoft.com/office/drawing/2014/main" id="{E2E8BE2F-17A4-4832-BAA7-CB431C29F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8320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78</xdr:row>
      <xdr:rowOff>144360</xdr:rowOff>
    </xdr:from>
    <xdr:ext cx="1294920" cy="57240"/>
    <xdr:pic>
      <xdr:nvPicPr>
        <xdr:cNvPr id="68" name="Picture 1">
          <a:extLst>
            <a:ext uri="{FF2B5EF4-FFF2-40B4-BE49-F238E27FC236}">
              <a16:creationId xmlns:a16="http://schemas.microsoft.com/office/drawing/2014/main" id="{80D63460-29FD-4C80-B181-B99203A1F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8320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78</xdr:row>
      <xdr:rowOff>144360</xdr:rowOff>
    </xdr:from>
    <xdr:ext cx="1294920" cy="57240"/>
    <xdr:pic>
      <xdr:nvPicPr>
        <xdr:cNvPr id="69" name="Picture 1">
          <a:extLst>
            <a:ext uri="{FF2B5EF4-FFF2-40B4-BE49-F238E27FC236}">
              <a16:creationId xmlns:a16="http://schemas.microsoft.com/office/drawing/2014/main" id="{57A425A4-5FEE-4146-95CC-EA53BAD20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8320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79</xdr:row>
      <xdr:rowOff>144000</xdr:rowOff>
    </xdr:from>
    <xdr:ext cx="1294920" cy="57960"/>
    <xdr:pic>
      <xdr:nvPicPr>
        <xdr:cNvPr id="70" name="Picture 1">
          <a:extLst>
            <a:ext uri="{FF2B5EF4-FFF2-40B4-BE49-F238E27FC236}">
              <a16:creationId xmlns:a16="http://schemas.microsoft.com/office/drawing/2014/main" id="{EBA09645-027F-4558-9B3F-928D2678B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0317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79</xdr:row>
      <xdr:rowOff>144000</xdr:rowOff>
    </xdr:from>
    <xdr:ext cx="1294920" cy="57960"/>
    <xdr:pic>
      <xdr:nvPicPr>
        <xdr:cNvPr id="71" name="Picture 1">
          <a:extLst>
            <a:ext uri="{FF2B5EF4-FFF2-40B4-BE49-F238E27FC236}">
              <a16:creationId xmlns:a16="http://schemas.microsoft.com/office/drawing/2014/main" id="{405A8984-D1EF-4CBA-9FA8-52B823B48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0317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79</xdr:row>
      <xdr:rowOff>144000</xdr:rowOff>
    </xdr:from>
    <xdr:ext cx="1294920" cy="57960"/>
    <xdr:pic>
      <xdr:nvPicPr>
        <xdr:cNvPr id="72" name="Picture 1">
          <a:extLst>
            <a:ext uri="{FF2B5EF4-FFF2-40B4-BE49-F238E27FC236}">
              <a16:creationId xmlns:a16="http://schemas.microsoft.com/office/drawing/2014/main" id="{03EDFC58-A9F5-46DD-AAAD-369E85ED7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0317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80</xdr:row>
      <xdr:rowOff>144360</xdr:rowOff>
    </xdr:from>
    <xdr:ext cx="1294920" cy="57240"/>
    <xdr:pic>
      <xdr:nvPicPr>
        <xdr:cNvPr id="73" name="Picture 1">
          <a:extLst>
            <a:ext uri="{FF2B5EF4-FFF2-40B4-BE49-F238E27FC236}">
              <a16:creationId xmlns:a16="http://schemas.microsoft.com/office/drawing/2014/main" id="{5672E3EA-F6DF-4353-B4C9-37AB3617D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2320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80</xdr:row>
      <xdr:rowOff>144360</xdr:rowOff>
    </xdr:from>
    <xdr:ext cx="1294920" cy="57240"/>
    <xdr:pic>
      <xdr:nvPicPr>
        <xdr:cNvPr id="74" name="Picture 1">
          <a:extLst>
            <a:ext uri="{FF2B5EF4-FFF2-40B4-BE49-F238E27FC236}">
              <a16:creationId xmlns:a16="http://schemas.microsoft.com/office/drawing/2014/main" id="{8B9DB5FB-C4B1-4DAD-89FC-197F26756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2320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80</xdr:row>
      <xdr:rowOff>144360</xdr:rowOff>
    </xdr:from>
    <xdr:ext cx="1294920" cy="57240"/>
    <xdr:pic>
      <xdr:nvPicPr>
        <xdr:cNvPr id="75" name="Picture 1">
          <a:extLst>
            <a:ext uri="{FF2B5EF4-FFF2-40B4-BE49-F238E27FC236}">
              <a16:creationId xmlns:a16="http://schemas.microsoft.com/office/drawing/2014/main" id="{E87179C0-9C0C-4A73-A633-2BA9FF841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2320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81</xdr:row>
      <xdr:rowOff>144360</xdr:rowOff>
    </xdr:from>
    <xdr:ext cx="1294920" cy="57240"/>
    <xdr:pic>
      <xdr:nvPicPr>
        <xdr:cNvPr id="76" name="Picture 1">
          <a:extLst>
            <a:ext uri="{FF2B5EF4-FFF2-40B4-BE49-F238E27FC236}">
              <a16:creationId xmlns:a16="http://schemas.microsoft.com/office/drawing/2014/main" id="{B23DA5AC-5F1D-4168-9970-240AB43E8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432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81</xdr:row>
      <xdr:rowOff>144360</xdr:rowOff>
    </xdr:from>
    <xdr:ext cx="1294920" cy="57240"/>
    <xdr:pic>
      <xdr:nvPicPr>
        <xdr:cNvPr id="77" name="Picture 1">
          <a:extLst>
            <a:ext uri="{FF2B5EF4-FFF2-40B4-BE49-F238E27FC236}">
              <a16:creationId xmlns:a16="http://schemas.microsoft.com/office/drawing/2014/main" id="{E72C450B-47A0-4D80-B9A1-2B0BA2DD7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432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81</xdr:row>
      <xdr:rowOff>144360</xdr:rowOff>
    </xdr:from>
    <xdr:ext cx="1294920" cy="57240"/>
    <xdr:pic>
      <xdr:nvPicPr>
        <xdr:cNvPr id="78" name="Picture 1">
          <a:extLst>
            <a:ext uri="{FF2B5EF4-FFF2-40B4-BE49-F238E27FC236}">
              <a16:creationId xmlns:a16="http://schemas.microsoft.com/office/drawing/2014/main" id="{B0901615-3D21-492A-A0BF-E20D00738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432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82</xdr:row>
      <xdr:rowOff>144000</xdr:rowOff>
    </xdr:from>
    <xdr:ext cx="1294920" cy="57960"/>
    <xdr:pic>
      <xdr:nvPicPr>
        <xdr:cNvPr id="79" name="Picture 1">
          <a:extLst>
            <a:ext uri="{FF2B5EF4-FFF2-40B4-BE49-F238E27FC236}">
              <a16:creationId xmlns:a16="http://schemas.microsoft.com/office/drawing/2014/main" id="{7148958F-0A65-4BAD-91A9-28E7F67D9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622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82</xdr:row>
      <xdr:rowOff>144000</xdr:rowOff>
    </xdr:from>
    <xdr:ext cx="1294920" cy="57960"/>
    <xdr:pic>
      <xdr:nvPicPr>
        <xdr:cNvPr id="80" name="Picture 1">
          <a:extLst>
            <a:ext uri="{FF2B5EF4-FFF2-40B4-BE49-F238E27FC236}">
              <a16:creationId xmlns:a16="http://schemas.microsoft.com/office/drawing/2014/main" id="{DD858001-B482-43C3-B47B-CAA7162F3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622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82</xdr:row>
      <xdr:rowOff>144000</xdr:rowOff>
    </xdr:from>
    <xdr:ext cx="1294920" cy="57960"/>
    <xdr:pic>
      <xdr:nvPicPr>
        <xdr:cNvPr id="81" name="Picture 1">
          <a:extLst>
            <a:ext uri="{FF2B5EF4-FFF2-40B4-BE49-F238E27FC236}">
              <a16:creationId xmlns:a16="http://schemas.microsoft.com/office/drawing/2014/main" id="{461CC7BD-2BCD-48E4-A0F8-709A104B7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622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83</xdr:row>
      <xdr:rowOff>144360</xdr:rowOff>
    </xdr:from>
    <xdr:ext cx="1294920" cy="57240"/>
    <xdr:pic>
      <xdr:nvPicPr>
        <xdr:cNvPr id="82" name="Picture 1">
          <a:extLst>
            <a:ext uri="{FF2B5EF4-FFF2-40B4-BE49-F238E27FC236}">
              <a16:creationId xmlns:a16="http://schemas.microsoft.com/office/drawing/2014/main" id="{ACE3CD63-39F0-43BB-8933-9AADD9A7D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813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83</xdr:row>
      <xdr:rowOff>144360</xdr:rowOff>
    </xdr:from>
    <xdr:ext cx="1294920" cy="57240"/>
    <xdr:pic>
      <xdr:nvPicPr>
        <xdr:cNvPr id="83" name="Picture 1">
          <a:extLst>
            <a:ext uri="{FF2B5EF4-FFF2-40B4-BE49-F238E27FC236}">
              <a16:creationId xmlns:a16="http://schemas.microsoft.com/office/drawing/2014/main" id="{AE30CEEA-590A-4458-9E79-5B8C431E8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813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83</xdr:row>
      <xdr:rowOff>144360</xdr:rowOff>
    </xdr:from>
    <xdr:ext cx="1294920" cy="57240"/>
    <xdr:pic>
      <xdr:nvPicPr>
        <xdr:cNvPr id="84" name="Picture 1">
          <a:extLst>
            <a:ext uri="{FF2B5EF4-FFF2-40B4-BE49-F238E27FC236}">
              <a16:creationId xmlns:a16="http://schemas.microsoft.com/office/drawing/2014/main" id="{56105F28-4045-490B-8671-434F79FB7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813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85</xdr:row>
      <xdr:rowOff>144360</xdr:rowOff>
    </xdr:from>
    <xdr:ext cx="1294920" cy="57240"/>
    <xdr:pic>
      <xdr:nvPicPr>
        <xdr:cNvPr id="85" name="Picture 1">
          <a:extLst>
            <a:ext uri="{FF2B5EF4-FFF2-40B4-BE49-F238E27FC236}">
              <a16:creationId xmlns:a16="http://schemas.microsoft.com/office/drawing/2014/main" id="{6D89F06F-E1A0-4DDE-8DC8-6CED6BA9E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194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85</xdr:row>
      <xdr:rowOff>144360</xdr:rowOff>
    </xdr:from>
    <xdr:ext cx="1294920" cy="57240"/>
    <xdr:pic>
      <xdr:nvPicPr>
        <xdr:cNvPr id="86" name="Picture 1">
          <a:extLst>
            <a:ext uri="{FF2B5EF4-FFF2-40B4-BE49-F238E27FC236}">
              <a16:creationId xmlns:a16="http://schemas.microsoft.com/office/drawing/2014/main" id="{5DDFEF26-282E-409F-9F2C-4A61444C6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194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85</xdr:row>
      <xdr:rowOff>144360</xdr:rowOff>
    </xdr:from>
    <xdr:ext cx="1294920" cy="57240"/>
    <xdr:pic>
      <xdr:nvPicPr>
        <xdr:cNvPr id="87" name="Picture 1">
          <a:extLst>
            <a:ext uri="{FF2B5EF4-FFF2-40B4-BE49-F238E27FC236}">
              <a16:creationId xmlns:a16="http://schemas.microsoft.com/office/drawing/2014/main" id="{C75EE6BB-1AFB-4F13-8829-B04ADFDB5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194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87</xdr:row>
      <xdr:rowOff>144000</xdr:rowOff>
    </xdr:from>
    <xdr:ext cx="1294920" cy="57960"/>
    <xdr:pic>
      <xdr:nvPicPr>
        <xdr:cNvPr id="88" name="Picture 1">
          <a:extLst>
            <a:ext uri="{FF2B5EF4-FFF2-40B4-BE49-F238E27FC236}">
              <a16:creationId xmlns:a16="http://schemas.microsoft.com/office/drawing/2014/main" id="{BFB7D767-FD96-457B-944C-FCF2E8B53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5747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87</xdr:row>
      <xdr:rowOff>144000</xdr:rowOff>
    </xdr:from>
    <xdr:ext cx="1294920" cy="57960"/>
    <xdr:pic>
      <xdr:nvPicPr>
        <xdr:cNvPr id="89" name="Picture 1">
          <a:extLst>
            <a:ext uri="{FF2B5EF4-FFF2-40B4-BE49-F238E27FC236}">
              <a16:creationId xmlns:a16="http://schemas.microsoft.com/office/drawing/2014/main" id="{905DC2FA-9697-40AD-9F42-4EA7DD8D2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5747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87</xdr:row>
      <xdr:rowOff>144000</xdr:rowOff>
    </xdr:from>
    <xdr:ext cx="1294920" cy="57960"/>
    <xdr:pic>
      <xdr:nvPicPr>
        <xdr:cNvPr id="90" name="Picture 1">
          <a:extLst>
            <a:ext uri="{FF2B5EF4-FFF2-40B4-BE49-F238E27FC236}">
              <a16:creationId xmlns:a16="http://schemas.microsoft.com/office/drawing/2014/main" id="{27DC8B6B-F529-4959-9CE7-06AD5CA68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5747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91" name="Picture 1">
          <a:extLst>
            <a:ext uri="{FF2B5EF4-FFF2-40B4-BE49-F238E27FC236}">
              <a16:creationId xmlns:a16="http://schemas.microsoft.com/office/drawing/2014/main" id="{F54CC6A7-97BE-4FD5-8E1E-A2D3B8DBD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92" name="Picture 1">
          <a:extLst>
            <a:ext uri="{FF2B5EF4-FFF2-40B4-BE49-F238E27FC236}">
              <a16:creationId xmlns:a16="http://schemas.microsoft.com/office/drawing/2014/main" id="{E0395796-0D01-4CEF-81A8-7490232B6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93" name="Picture 1">
          <a:extLst>
            <a:ext uri="{FF2B5EF4-FFF2-40B4-BE49-F238E27FC236}">
              <a16:creationId xmlns:a16="http://schemas.microsoft.com/office/drawing/2014/main" id="{7239C047-04A7-40E7-A30B-DC3F7D864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94" name="Picture 1">
          <a:extLst>
            <a:ext uri="{FF2B5EF4-FFF2-40B4-BE49-F238E27FC236}">
              <a16:creationId xmlns:a16="http://schemas.microsoft.com/office/drawing/2014/main" id="{DCF6EB24-61CB-46A5-9CF2-BF4B94D5A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95" name="Picture 1">
          <a:extLst>
            <a:ext uri="{FF2B5EF4-FFF2-40B4-BE49-F238E27FC236}">
              <a16:creationId xmlns:a16="http://schemas.microsoft.com/office/drawing/2014/main" id="{953CA348-5AF9-4A97-8143-12F43DD4E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96" name="Picture 1">
          <a:extLst>
            <a:ext uri="{FF2B5EF4-FFF2-40B4-BE49-F238E27FC236}">
              <a16:creationId xmlns:a16="http://schemas.microsoft.com/office/drawing/2014/main" id="{F77D60CD-A1E3-4598-8957-BF4C9BC16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97" name="Picture 1">
          <a:extLst>
            <a:ext uri="{FF2B5EF4-FFF2-40B4-BE49-F238E27FC236}">
              <a16:creationId xmlns:a16="http://schemas.microsoft.com/office/drawing/2014/main" id="{37EDB086-8A47-44CD-BB7F-5A44FC77D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98" name="Picture 1">
          <a:extLst>
            <a:ext uri="{FF2B5EF4-FFF2-40B4-BE49-F238E27FC236}">
              <a16:creationId xmlns:a16="http://schemas.microsoft.com/office/drawing/2014/main" id="{A7BE6AC3-197A-4B9C-869C-E9C0ABD9C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99" name="Picture 1">
          <a:extLst>
            <a:ext uri="{FF2B5EF4-FFF2-40B4-BE49-F238E27FC236}">
              <a16:creationId xmlns:a16="http://schemas.microsoft.com/office/drawing/2014/main" id="{A9BCCA5B-7DEB-4E54-B7B9-FFF0C79B5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100" name="Picture 1">
          <a:extLst>
            <a:ext uri="{FF2B5EF4-FFF2-40B4-BE49-F238E27FC236}">
              <a16:creationId xmlns:a16="http://schemas.microsoft.com/office/drawing/2014/main" id="{93567B18-984B-4BFC-B4A6-D9CDA76C7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101" name="Picture 1">
          <a:extLst>
            <a:ext uri="{FF2B5EF4-FFF2-40B4-BE49-F238E27FC236}">
              <a16:creationId xmlns:a16="http://schemas.microsoft.com/office/drawing/2014/main" id="{89A7C611-F2F2-4820-99D3-4E527FC61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102" name="Picture 1">
          <a:extLst>
            <a:ext uri="{FF2B5EF4-FFF2-40B4-BE49-F238E27FC236}">
              <a16:creationId xmlns:a16="http://schemas.microsoft.com/office/drawing/2014/main" id="{C352C945-D362-443E-842C-CA8F5AE4C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103" name="Picture 1">
          <a:extLst>
            <a:ext uri="{FF2B5EF4-FFF2-40B4-BE49-F238E27FC236}">
              <a16:creationId xmlns:a16="http://schemas.microsoft.com/office/drawing/2014/main" id="{02908E1E-B95D-4DAD-A812-14C1880DA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104" name="Picture 1">
          <a:extLst>
            <a:ext uri="{FF2B5EF4-FFF2-40B4-BE49-F238E27FC236}">
              <a16:creationId xmlns:a16="http://schemas.microsoft.com/office/drawing/2014/main" id="{F2B0B024-7C1E-497C-8576-883678ADC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105" name="Picture 1">
          <a:extLst>
            <a:ext uri="{FF2B5EF4-FFF2-40B4-BE49-F238E27FC236}">
              <a16:creationId xmlns:a16="http://schemas.microsoft.com/office/drawing/2014/main" id="{52AFD250-5BD5-4C0E-A430-3A2D5AC93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106" name="Picture 1">
          <a:extLst>
            <a:ext uri="{FF2B5EF4-FFF2-40B4-BE49-F238E27FC236}">
              <a16:creationId xmlns:a16="http://schemas.microsoft.com/office/drawing/2014/main" id="{924B6592-ABE4-42E2-AD8B-C096331F6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107" name="Picture 1">
          <a:extLst>
            <a:ext uri="{FF2B5EF4-FFF2-40B4-BE49-F238E27FC236}">
              <a16:creationId xmlns:a16="http://schemas.microsoft.com/office/drawing/2014/main" id="{FFE13F49-C9D6-4A21-B96E-E3CE2AF27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108" name="Picture 1">
          <a:extLst>
            <a:ext uri="{FF2B5EF4-FFF2-40B4-BE49-F238E27FC236}">
              <a16:creationId xmlns:a16="http://schemas.microsoft.com/office/drawing/2014/main" id="{2D69A8FA-D882-4AFD-927D-53EDCC96C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109" name="Picture 1">
          <a:extLst>
            <a:ext uri="{FF2B5EF4-FFF2-40B4-BE49-F238E27FC236}">
              <a16:creationId xmlns:a16="http://schemas.microsoft.com/office/drawing/2014/main" id="{213331B0-5F9C-4B32-BD94-F951D3E98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110" name="Picture 1">
          <a:extLst>
            <a:ext uri="{FF2B5EF4-FFF2-40B4-BE49-F238E27FC236}">
              <a16:creationId xmlns:a16="http://schemas.microsoft.com/office/drawing/2014/main" id="{7724899E-D93F-456C-8913-26B53CA4C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111" name="Picture 1">
          <a:extLst>
            <a:ext uri="{FF2B5EF4-FFF2-40B4-BE49-F238E27FC236}">
              <a16:creationId xmlns:a16="http://schemas.microsoft.com/office/drawing/2014/main" id="{7A762F3E-B037-4925-A363-F84E7E6F7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112" name="Picture 1">
          <a:extLst>
            <a:ext uri="{FF2B5EF4-FFF2-40B4-BE49-F238E27FC236}">
              <a16:creationId xmlns:a16="http://schemas.microsoft.com/office/drawing/2014/main" id="{F9E1D780-EA45-499F-B3CA-3907EDB5D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113" name="Picture 1">
          <a:extLst>
            <a:ext uri="{FF2B5EF4-FFF2-40B4-BE49-F238E27FC236}">
              <a16:creationId xmlns:a16="http://schemas.microsoft.com/office/drawing/2014/main" id="{85FF6D6F-AB6C-4244-BC3D-958119880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114" name="Picture 1">
          <a:extLst>
            <a:ext uri="{FF2B5EF4-FFF2-40B4-BE49-F238E27FC236}">
              <a16:creationId xmlns:a16="http://schemas.microsoft.com/office/drawing/2014/main" id="{99648130-0B6B-4C6B-BAF8-E33E6533C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115" name="Picture 1">
          <a:extLst>
            <a:ext uri="{FF2B5EF4-FFF2-40B4-BE49-F238E27FC236}">
              <a16:creationId xmlns:a16="http://schemas.microsoft.com/office/drawing/2014/main" id="{67F20B6D-F722-4DDC-B8E5-D506D1F2B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116" name="Picture 1">
          <a:extLst>
            <a:ext uri="{FF2B5EF4-FFF2-40B4-BE49-F238E27FC236}">
              <a16:creationId xmlns:a16="http://schemas.microsoft.com/office/drawing/2014/main" id="{1B965A7A-BF8F-4625-9288-34D03F52C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117" name="Picture 1">
          <a:extLst>
            <a:ext uri="{FF2B5EF4-FFF2-40B4-BE49-F238E27FC236}">
              <a16:creationId xmlns:a16="http://schemas.microsoft.com/office/drawing/2014/main" id="{F1B8F4D9-8477-401A-B805-3262A9755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118" name="Picture 1">
          <a:extLst>
            <a:ext uri="{FF2B5EF4-FFF2-40B4-BE49-F238E27FC236}">
              <a16:creationId xmlns:a16="http://schemas.microsoft.com/office/drawing/2014/main" id="{11E065BB-874C-4396-95FC-40D2F8B90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119" name="Picture 1">
          <a:extLst>
            <a:ext uri="{FF2B5EF4-FFF2-40B4-BE49-F238E27FC236}">
              <a16:creationId xmlns:a16="http://schemas.microsoft.com/office/drawing/2014/main" id="{98411694-6556-464D-8506-5DC68712F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120" name="Picture 1">
          <a:extLst>
            <a:ext uri="{FF2B5EF4-FFF2-40B4-BE49-F238E27FC236}">
              <a16:creationId xmlns:a16="http://schemas.microsoft.com/office/drawing/2014/main" id="{BE3AC4EF-04E7-4892-8285-E83A4AF2C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121" name="Picture 1">
          <a:extLst>
            <a:ext uri="{FF2B5EF4-FFF2-40B4-BE49-F238E27FC236}">
              <a16:creationId xmlns:a16="http://schemas.microsoft.com/office/drawing/2014/main" id="{46F7966F-D479-438B-96C6-661C9C3D0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122" name="Picture 1">
          <a:extLst>
            <a:ext uri="{FF2B5EF4-FFF2-40B4-BE49-F238E27FC236}">
              <a16:creationId xmlns:a16="http://schemas.microsoft.com/office/drawing/2014/main" id="{B88F15DC-C8D8-4225-AA11-796B0A660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123" name="Picture 1">
          <a:extLst>
            <a:ext uri="{FF2B5EF4-FFF2-40B4-BE49-F238E27FC236}">
              <a16:creationId xmlns:a16="http://schemas.microsoft.com/office/drawing/2014/main" id="{FAA4B61C-73ED-4454-AF2E-9ABA47F7E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45</xdr:row>
      <xdr:rowOff>144000</xdr:rowOff>
    </xdr:from>
    <xdr:ext cx="1294920" cy="57960"/>
    <xdr:pic>
      <xdr:nvPicPr>
        <xdr:cNvPr id="124" name="Picture 1">
          <a:extLst>
            <a:ext uri="{FF2B5EF4-FFF2-40B4-BE49-F238E27FC236}">
              <a16:creationId xmlns:a16="http://schemas.microsoft.com/office/drawing/2014/main" id="{0B10E152-C4C1-4903-8298-E4361C384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9421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45</xdr:row>
      <xdr:rowOff>144000</xdr:rowOff>
    </xdr:from>
    <xdr:ext cx="1294920" cy="57960"/>
    <xdr:pic>
      <xdr:nvPicPr>
        <xdr:cNvPr id="125" name="Picture 1">
          <a:extLst>
            <a:ext uri="{FF2B5EF4-FFF2-40B4-BE49-F238E27FC236}">
              <a16:creationId xmlns:a16="http://schemas.microsoft.com/office/drawing/2014/main" id="{911D6E02-2960-41E6-9A8F-8A5EE7D2B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9421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46</xdr:row>
      <xdr:rowOff>144360</xdr:rowOff>
    </xdr:from>
    <xdr:ext cx="1294920" cy="57240"/>
    <xdr:pic>
      <xdr:nvPicPr>
        <xdr:cNvPr id="126" name="Picture 1">
          <a:extLst>
            <a:ext uri="{FF2B5EF4-FFF2-40B4-BE49-F238E27FC236}">
              <a16:creationId xmlns:a16="http://schemas.microsoft.com/office/drawing/2014/main" id="{3BB35FB6-B92C-414D-AEC3-F7364FD1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96217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46</xdr:row>
      <xdr:rowOff>144360</xdr:rowOff>
    </xdr:from>
    <xdr:ext cx="1294920" cy="57240"/>
    <xdr:pic>
      <xdr:nvPicPr>
        <xdr:cNvPr id="127" name="Picture 1">
          <a:extLst>
            <a:ext uri="{FF2B5EF4-FFF2-40B4-BE49-F238E27FC236}">
              <a16:creationId xmlns:a16="http://schemas.microsoft.com/office/drawing/2014/main" id="{15402958-7ED5-45E5-B37A-02DC2200C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96217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46</xdr:row>
      <xdr:rowOff>144360</xdr:rowOff>
    </xdr:from>
    <xdr:ext cx="1294920" cy="57240"/>
    <xdr:pic>
      <xdr:nvPicPr>
        <xdr:cNvPr id="128" name="Picture 1">
          <a:extLst>
            <a:ext uri="{FF2B5EF4-FFF2-40B4-BE49-F238E27FC236}">
              <a16:creationId xmlns:a16="http://schemas.microsoft.com/office/drawing/2014/main" id="{67517A96-F38E-4527-A5F1-3C9EF382F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96217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47</xdr:row>
      <xdr:rowOff>144360</xdr:rowOff>
    </xdr:from>
    <xdr:ext cx="1294920" cy="57240"/>
    <xdr:pic>
      <xdr:nvPicPr>
        <xdr:cNvPr id="129" name="Picture 1">
          <a:extLst>
            <a:ext uri="{FF2B5EF4-FFF2-40B4-BE49-F238E27FC236}">
              <a16:creationId xmlns:a16="http://schemas.microsoft.com/office/drawing/2014/main" id="{C8F315F6-9156-42E0-B8DE-37940DD82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982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49</xdr:row>
      <xdr:rowOff>144360</xdr:rowOff>
    </xdr:from>
    <xdr:ext cx="1294920" cy="57240"/>
    <xdr:pic>
      <xdr:nvPicPr>
        <xdr:cNvPr id="130" name="Picture 1">
          <a:extLst>
            <a:ext uri="{FF2B5EF4-FFF2-40B4-BE49-F238E27FC236}">
              <a16:creationId xmlns:a16="http://schemas.microsoft.com/office/drawing/2014/main" id="{B8BC6FEA-2D11-463A-9750-3A8AF77FF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0221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49</xdr:row>
      <xdr:rowOff>144360</xdr:rowOff>
    </xdr:from>
    <xdr:ext cx="1294920" cy="57240"/>
    <xdr:pic>
      <xdr:nvPicPr>
        <xdr:cNvPr id="131" name="Picture 1">
          <a:extLst>
            <a:ext uri="{FF2B5EF4-FFF2-40B4-BE49-F238E27FC236}">
              <a16:creationId xmlns:a16="http://schemas.microsoft.com/office/drawing/2014/main" id="{85DBE487-C4C0-476F-A18D-22713307E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0221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49</xdr:row>
      <xdr:rowOff>144360</xdr:rowOff>
    </xdr:from>
    <xdr:ext cx="1294920" cy="57240"/>
    <xdr:pic>
      <xdr:nvPicPr>
        <xdr:cNvPr id="132" name="Picture 1">
          <a:extLst>
            <a:ext uri="{FF2B5EF4-FFF2-40B4-BE49-F238E27FC236}">
              <a16:creationId xmlns:a16="http://schemas.microsoft.com/office/drawing/2014/main" id="{FEB7EA50-E6E9-4E1C-9D46-8CC49BAFB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0221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50</xdr:row>
      <xdr:rowOff>144000</xdr:rowOff>
    </xdr:from>
    <xdr:ext cx="1294920" cy="57960"/>
    <xdr:pic>
      <xdr:nvPicPr>
        <xdr:cNvPr id="133" name="Picture 1">
          <a:extLst>
            <a:ext uri="{FF2B5EF4-FFF2-40B4-BE49-F238E27FC236}">
              <a16:creationId xmlns:a16="http://schemas.microsoft.com/office/drawing/2014/main" id="{4C5932EB-A055-49DB-901C-469F7BD61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0411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50</xdr:row>
      <xdr:rowOff>144000</xdr:rowOff>
    </xdr:from>
    <xdr:ext cx="1294920" cy="57960"/>
    <xdr:pic>
      <xdr:nvPicPr>
        <xdr:cNvPr id="134" name="Picture 1">
          <a:extLst>
            <a:ext uri="{FF2B5EF4-FFF2-40B4-BE49-F238E27FC236}">
              <a16:creationId xmlns:a16="http://schemas.microsoft.com/office/drawing/2014/main" id="{C3FA1FC9-FE10-4848-A912-74AE48F77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0411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51</xdr:row>
      <xdr:rowOff>144360</xdr:rowOff>
    </xdr:from>
    <xdr:ext cx="1294920" cy="57240"/>
    <xdr:pic>
      <xdr:nvPicPr>
        <xdr:cNvPr id="135" name="Picture 1">
          <a:extLst>
            <a:ext uri="{FF2B5EF4-FFF2-40B4-BE49-F238E27FC236}">
              <a16:creationId xmlns:a16="http://schemas.microsoft.com/office/drawing/2014/main" id="{9AA007D2-24F2-4884-BB81-7DCE812C5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060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51</xdr:row>
      <xdr:rowOff>144360</xdr:rowOff>
    </xdr:from>
    <xdr:ext cx="1294920" cy="57240"/>
    <xdr:pic>
      <xdr:nvPicPr>
        <xdr:cNvPr id="136" name="Picture 1">
          <a:extLst>
            <a:ext uri="{FF2B5EF4-FFF2-40B4-BE49-F238E27FC236}">
              <a16:creationId xmlns:a16="http://schemas.microsoft.com/office/drawing/2014/main" id="{5DEC875B-D238-486C-8D07-469C94DF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060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51</xdr:row>
      <xdr:rowOff>144360</xdr:rowOff>
    </xdr:from>
    <xdr:ext cx="1294920" cy="57240"/>
    <xdr:pic>
      <xdr:nvPicPr>
        <xdr:cNvPr id="137" name="Picture 1">
          <a:extLst>
            <a:ext uri="{FF2B5EF4-FFF2-40B4-BE49-F238E27FC236}">
              <a16:creationId xmlns:a16="http://schemas.microsoft.com/office/drawing/2014/main" id="{E4B552E8-792C-4AB1-9583-D134977B7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060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52</xdr:row>
      <xdr:rowOff>144360</xdr:rowOff>
    </xdr:from>
    <xdr:ext cx="1294920" cy="57240"/>
    <xdr:pic>
      <xdr:nvPicPr>
        <xdr:cNvPr id="138" name="Picture 1">
          <a:extLst>
            <a:ext uri="{FF2B5EF4-FFF2-40B4-BE49-F238E27FC236}">
              <a16:creationId xmlns:a16="http://schemas.microsoft.com/office/drawing/2014/main" id="{B7FD1202-5F05-4C32-AD8E-1C3E3203E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0793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52</xdr:row>
      <xdr:rowOff>144360</xdr:rowOff>
    </xdr:from>
    <xdr:ext cx="1294920" cy="57240"/>
    <xdr:pic>
      <xdr:nvPicPr>
        <xdr:cNvPr id="139" name="Picture 1">
          <a:extLst>
            <a:ext uri="{FF2B5EF4-FFF2-40B4-BE49-F238E27FC236}">
              <a16:creationId xmlns:a16="http://schemas.microsoft.com/office/drawing/2014/main" id="{FEE47CA9-27F9-41C4-8491-2F9DFF5E0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0793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54</xdr:row>
      <xdr:rowOff>144360</xdr:rowOff>
    </xdr:from>
    <xdr:ext cx="1294920" cy="57240"/>
    <xdr:pic>
      <xdr:nvPicPr>
        <xdr:cNvPr id="140" name="Picture 1">
          <a:extLst>
            <a:ext uri="{FF2B5EF4-FFF2-40B4-BE49-F238E27FC236}">
              <a16:creationId xmlns:a16="http://schemas.microsoft.com/office/drawing/2014/main" id="{10690705-ED2E-467B-B88D-D0F1E22CE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174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54</xdr:row>
      <xdr:rowOff>144360</xdr:rowOff>
    </xdr:from>
    <xdr:ext cx="1294920" cy="57240"/>
    <xdr:pic>
      <xdr:nvPicPr>
        <xdr:cNvPr id="141" name="Picture 1">
          <a:extLst>
            <a:ext uri="{FF2B5EF4-FFF2-40B4-BE49-F238E27FC236}">
              <a16:creationId xmlns:a16="http://schemas.microsoft.com/office/drawing/2014/main" id="{EFE740CC-226C-4650-89AB-86CB8F683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174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56</xdr:row>
      <xdr:rowOff>144360</xdr:rowOff>
    </xdr:from>
    <xdr:ext cx="1294920" cy="57240"/>
    <xdr:pic>
      <xdr:nvPicPr>
        <xdr:cNvPr id="142" name="Picture 1">
          <a:extLst>
            <a:ext uri="{FF2B5EF4-FFF2-40B4-BE49-F238E27FC236}">
              <a16:creationId xmlns:a16="http://schemas.microsoft.com/office/drawing/2014/main" id="{18AF0552-A2F5-4888-9EC2-D44A23044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517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56</xdr:row>
      <xdr:rowOff>144360</xdr:rowOff>
    </xdr:from>
    <xdr:ext cx="1294920" cy="57240"/>
    <xdr:pic>
      <xdr:nvPicPr>
        <xdr:cNvPr id="143" name="Picture 1">
          <a:extLst>
            <a:ext uri="{FF2B5EF4-FFF2-40B4-BE49-F238E27FC236}">
              <a16:creationId xmlns:a16="http://schemas.microsoft.com/office/drawing/2014/main" id="{E5B5ED83-BB59-4E50-8DF1-B6B56FCBF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517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57</xdr:row>
      <xdr:rowOff>144360</xdr:rowOff>
    </xdr:from>
    <xdr:ext cx="1294920" cy="57240"/>
    <xdr:pic>
      <xdr:nvPicPr>
        <xdr:cNvPr id="144" name="Picture 1">
          <a:extLst>
            <a:ext uri="{FF2B5EF4-FFF2-40B4-BE49-F238E27FC236}">
              <a16:creationId xmlns:a16="http://schemas.microsoft.com/office/drawing/2014/main" id="{8938223A-39AD-4626-A649-C58A99C68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707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57</xdr:row>
      <xdr:rowOff>144360</xdr:rowOff>
    </xdr:from>
    <xdr:ext cx="1294920" cy="57240"/>
    <xdr:pic>
      <xdr:nvPicPr>
        <xdr:cNvPr id="145" name="Picture 1">
          <a:extLst>
            <a:ext uri="{FF2B5EF4-FFF2-40B4-BE49-F238E27FC236}">
              <a16:creationId xmlns:a16="http://schemas.microsoft.com/office/drawing/2014/main" id="{7E59C0B7-2AA9-4119-B2BD-6B79FA1AF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707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57</xdr:row>
      <xdr:rowOff>144360</xdr:rowOff>
    </xdr:from>
    <xdr:ext cx="1294920" cy="57240"/>
    <xdr:pic>
      <xdr:nvPicPr>
        <xdr:cNvPr id="146" name="Picture 1">
          <a:extLst>
            <a:ext uri="{FF2B5EF4-FFF2-40B4-BE49-F238E27FC236}">
              <a16:creationId xmlns:a16="http://schemas.microsoft.com/office/drawing/2014/main" id="{6BD2B7D1-6D06-4A31-A925-EB60A4C59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707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58</xdr:row>
      <xdr:rowOff>144000</xdr:rowOff>
    </xdr:from>
    <xdr:ext cx="1294920" cy="57960"/>
    <xdr:pic>
      <xdr:nvPicPr>
        <xdr:cNvPr id="147" name="Picture 1">
          <a:extLst>
            <a:ext uri="{FF2B5EF4-FFF2-40B4-BE49-F238E27FC236}">
              <a16:creationId xmlns:a16="http://schemas.microsoft.com/office/drawing/2014/main" id="{2BE034C0-3124-4B41-9E87-756CBEE3A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8978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58</xdr:row>
      <xdr:rowOff>144000</xdr:rowOff>
    </xdr:from>
    <xdr:ext cx="1294920" cy="57960"/>
    <xdr:pic>
      <xdr:nvPicPr>
        <xdr:cNvPr id="148" name="Picture 1">
          <a:extLst>
            <a:ext uri="{FF2B5EF4-FFF2-40B4-BE49-F238E27FC236}">
              <a16:creationId xmlns:a16="http://schemas.microsoft.com/office/drawing/2014/main" id="{9570FA5E-0665-46C3-85D0-EDD651F71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8978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59</xdr:row>
      <xdr:rowOff>144360</xdr:rowOff>
    </xdr:from>
    <xdr:ext cx="1294920" cy="57240"/>
    <xdr:pic>
      <xdr:nvPicPr>
        <xdr:cNvPr id="149" name="Picture 1">
          <a:extLst>
            <a:ext uri="{FF2B5EF4-FFF2-40B4-BE49-F238E27FC236}">
              <a16:creationId xmlns:a16="http://schemas.microsoft.com/office/drawing/2014/main" id="{ED8ABD43-05E7-4039-9F5F-559B75385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088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59</xdr:row>
      <xdr:rowOff>144360</xdr:rowOff>
    </xdr:from>
    <xdr:ext cx="1294920" cy="57240"/>
    <xdr:pic>
      <xdr:nvPicPr>
        <xdr:cNvPr id="150" name="Picture 1">
          <a:extLst>
            <a:ext uri="{FF2B5EF4-FFF2-40B4-BE49-F238E27FC236}">
              <a16:creationId xmlns:a16="http://schemas.microsoft.com/office/drawing/2014/main" id="{03E224D0-1C24-47EB-8E30-97D39A65D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088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59</xdr:row>
      <xdr:rowOff>144360</xdr:rowOff>
    </xdr:from>
    <xdr:ext cx="1294920" cy="57240"/>
    <xdr:pic>
      <xdr:nvPicPr>
        <xdr:cNvPr id="151" name="Picture 1">
          <a:extLst>
            <a:ext uri="{FF2B5EF4-FFF2-40B4-BE49-F238E27FC236}">
              <a16:creationId xmlns:a16="http://schemas.microsoft.com/office/drawing/2014/main" id="{ADAEE024-C413-40BA-89B2-D0369161D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088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60</xdr:row>
      <xdr:rowOff>144360</xdr:rowOff>
    </xdr:from>
    <xdr:ext cx="1294920" cy="57240"/>
    <xdr:pic>
      <xdr:nvPicPr>
        <xdr:cNvPr id="152" name="Picture 1">
          <a:extLst>
            <a:ext uri="{FF2B5EF4-FFF2-40B4-BE49-F238E27FC236}">
              <a16:creationId xmlns:a16="http://schemas.microsoft.com/office/drawing/2014/main" id="{1F224ECB-123C-4228-8532-D692E2C8A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279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60</xdr:row>
      <xdr:rowOff>144360</xdr:rowOff>
    </xdr:from>
    <xdr:ext cx="1294920" cy="57240"/>
    <xdr:pic>
      <xdr:nvPicPr>
        <xdr:cNvPr id="153" name="Picture 1">
          <a:extLst>
            <a:ext uri="{FF2B5EF4-FFF2-40B4-BE49-F238E27FC236}">
              <a16:creationId xmlns:a16="http://schemas.microsoft.com/office/drawing/2014/main" id="{C3122B4F-E30E-484D-AD49-18851BF9A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279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60</xdr:row>
      <xdr:rowOff>144360</xdr:rowOff>
    </xdr:from>
    <xdr:ext cx="1294920" cy="57240"/>
    <xdr:pic>
      <xdr:nvPicPr>
        <xdr:cNvPr id="154" name="Picture 1">
          <a:extLst>
            <a:ext uri="{FF2B5EF4-FFF2-40B4-BE49-F238E27FC236}">
              <a16:creationId xmlns:a16="http://schemas.microsoft.com/office/drawing/2014/main" id="{08B84A9D-78D2-45B0-AEC1-B223F95DF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279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61</xdr:row>
      <xdr:rowOff>144000</xdr:rowOff>
    </xdr:from>
    <xdr:ext cx="1294920" cy="57960"/>
    <xdr:pic>
      <xdr:nvPicPr>
        <xdr:cNvPr id="155" name="Picture 1">
          <a:extLst>
            <a:ext uri="{FF2B5EF4-FFF2-40B4-BE49-F238E27FC236}">
              <a16:creationId xmlns:a16="http://schemas.microsoft.com/office/drawing/2014/main" id="{6032CC04-4A30-43A4-A166-2988CE726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469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61</xdr:row>
      <xdr:rowOff>144000</xdr:rowOff>
    </xdr:from>
    <xdr:ext cx="1294920" cy="57960"/>
    <xdr:pic>
      <xdr:nvPicPr>
        <xdr:cNvPr id="156" name="Picture 1">
          <a:extLst>
            <a:ext uri="{FF2B5EF4-FFF2-40B4-BE49-F238E27FC236}">
              <a16:creationId xmlns:a16="http://schemas.microsoft.com/office/drawing/2014/main" id="{E60DCCF3-B53A-4BD5-B7F9-B4E564925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469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61</xdr:row>
      <xdr:rowOff>144000</xdr:rowOff>
    </xdr:from>
    <xdr:ext cx="1294920" cy="57960"/>
    <xdr:pic>
      <xdr:nvPicPr>
        <xdr:cNvPr id="157" name="Picture 1">
          <a:extLst>
            <a:ext uri="{FF2B5EF4-FFF2-40B4-BE49-F238E27FC236}">
              <a16:creationId xmlns:a16="http://schemas.microsoft.com/office/drawing/2014/main" id="{547DE2B8-C13E-4604-B80E-574643560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469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62</xdr:row>
      <xdr:rowOff>144360</xdr:rowOff>
    </xdr:from>
    <xdr:ext cx="1294920" cy="57240"/>
    <xdr:pic>
      <xdr:nvPicPr>
        <xdr:cNvPr id="158" name="Picture 1">
          <a:extLst>
            <a:ext uri="{FF2B5EF4-FFF2-40B4-BE49-F238E27FC236}">
              <a16:creationId xmlns:a16="http://schemas.microsoft.com/office/drawing/2014/main" id="{E556286B-57FE-4170-BD3D-784CA954F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660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62</xdr:row>
      <xdr:rowOff>144360</xdr:rowOff>
    </xdr:from>
    <xdr:ext cx="1294920" cy="57240"/>
    <xdr:pic>
      <xdr:nvPicPr>
        <xdr:cNvPr id="159" name="Picture 1">
          <a:extLst>
            <a:ext uri="{FF2B5EF4-FFF2-40B4-BE49-F238E27FC236}">
              <a16:creationId xmlns:a16="http://schemas.microsoft.com/office/drawing/2014/main" id="{69538EB4-D22A-41A9-919D-789D0DA1F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660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62</xdr:row>
      <xdr:rowOff>144360</xdr:rowOff>
    </xdr:from>
    <xdr:ext cx="1294920" cy="57240"/>
    <xdr:pic>
      <xdr:nvPicPr>
        <xdr:cNvPr id="160" name="Picture 1">
          <a:extLst>
            <a:ext uri="{FF2B5EF4-FFF2-40B4-BE49-F238E27FC236}">
              <a16:creationId xmlns:a16="http://schemas.microsoft.com/office/drawing/2014/main" id="{173724CE-B524-41C7-86A6-5F359D2D1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660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63</xdr:row>
      <xdr:rowOff>144000</xdr:rowOff>
    </xdr:from>
    <xdr:ext cx="1294920" cy="57960"/>
    <xdr:pic>
      <xdr:nvPicPr>
        <xdr:cNvPr id="161" name="Picture 1">
          <a:extLst>
            <a:ext uri="{FF2B5EF4-FFF2-40B4-BE49-F238E27FC236}">
              <a16:creationId xmlns:a16="http://schemas.microsoft.com/office/drawing/2014/main" id="{40EFF20E-7E8C-4230-82A7-B38E87B86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850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63</xdr:row>
      <xdr:rowOff>144000</xdr:rowOff>
    </xdr:from>
    <xdr:ext cx="1294920" cy="57960"/>
    <xdr:pic>
      <xdr:nvPicPr>
        <xdr:cNvPr id="162" name="Picture 1">
          <a:extLst>
            <a:ext uri="{FF2B5EF4-FFF2-40B4-BE49-F238E27FC236}">
              <a16:creationId xmlns:a16="http://schemas.microsoft.com/office/drawing/2014/main" id="{F5D13C0F-795A-49F4-8CA5-120A8BC24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850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63</xdr:row>
      <xdr:rowOff>144000</xdr:rowOff>
    </xdr:from>
    <xdr:ext cx="1294920" cy="57960"/>
    <xdr:pic>
      <xdr:nvPicPr>
        <xdr:cNvPr id="163" name="Picture 1">
          <a:extLst>
            <a:ext uri="{FF2B5EF4-FFF2-40B4-BE49-F238E27FC236}">
              <a16:creationId xmlns:a16="http://schemas.microsoft.com/office/drawing/2014/main" id="{E29609E0-B88E-410B-A70A-48BD79B82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850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64</xdr:row>
      <xdr:rowOff>144360</xdr:rowOff>
    </xdr:from>
    <xdr:ext cx="1294920" cy="57240"/>
    <xdr:pic>
      <xdr:nvPicPr>
        <xdr:cNvPr id="164" name="Picture 1">
          <a:extLst>
            <a:ext uri="{FF2B5EF4-FFF2-40B4-BE49-F238E27FC236}">
              <a16:creationId xmlns:a16="http://schemas.microsoft.com/office/drawing/2014/main" id="{8166A9FF-DEA0-4BE6-8418-461B41B1F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041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64</xdr:row>
      <xdr:rowOff>144360</xdr:rowOff>
    </xdr:from>
    <xdr:ext cx="1294920" cy="57240"/>
    <xdr:pic>
      <xdr:nvPicPr>
        <xdr:cNvPr id="165" name="Picture 1">
          <a:extLst>
            <a:ext uri="{FF2B5EF4-FFF2-40B4-BE49-F238E27FC236}">
              <a16:creationId xmlns:a16="http://schemas.microsoft.com/office/drawing/2014/main" id="{A9BC1D3D-6835-42D4-B655-3E04E0A43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041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64</xdr:row>
      <xdr:rowOff>144360</xdr:rowOff>
    </xdr:from>
    <xdr:ext cx="1294920" cy="57240"/>
    <xdr:pic>
      <xdr:nvPicPr>
        <xdr:cNvPr id="166" name="Picture 1">
          <a:extLst>
            <a:ext uri="{FF2B5EF4-FFF2-40B4-BE49-F238E27FC236}">
              <a16:creationId xmlns:a16="http://schemas.microsoft.com/office/drawing/2014/main" id="{F92575B2-3292-4C03-B817-7E7C76D05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041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65</xdr:row>
      <xdr:rowOff>144360</xdr:rowOff>
    </xdr:from>
    <xdr:ext cx="1294920" cy="57240"/>
    <xdr:pic>
      <xdr:nvPicPr>
        <xdr:cNvPr id="167" name="Picture 1">
          <a:extLst>
            <a:ext uri="{FF2B5EF4-FFF2-40B4-BE49-F238E27FC236}">
              <a16:creationId xmlns:a16="http://schemas.microsoft.com/office/drawing/2014/main" id="{CBAC5998-281C-4902-8ABD-8F4C15B74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231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65</xdr:row>
      <xdr:rowOff>144360</xdr:rowOff>
    </xdr:from>
    <xdr:ext cx="1294920" cy="57240"/>
    <xdr:pic>
      <xdr:nvPicPr>
        <xdr:cNvPr id="168" name="Picture 1">
          <a:extLst>
            <a:ext uri="{FF2B5EF4-FFF2-40B4-BE49-F238E27FC236}">
              <a16:creationId xmlns:a16="http://schemas.microsoft.com/office/drawing/2014/main" id="{3CC8B65F-6750-4D9D-AFD0-18CE2CD7F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231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65</xdr:row>
      <xdr:rowOff>144360</xdr:rowOff>
    </xdr:from>
    <xdr:ext cx="1294920" cy="57240"/>
    <xdr:pic>
      <xdr:nvPicPr>
        <xdr:cNvPr id="169" name="Picture 1">
          <a:extLst>
            <a:ext uri="{FF2B5EF4-FFF2-40B4-BE49-F238E27FC236}">
              <a16:creationId xmlns:a16="http://schemas.microsoft.com/office/drawing/2014/main" id="{9DABB0AE-DC97-4181-B4BE-5CDE2B35D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231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66</xdr:row>
      <xdr:rowOff>144000</xdr:rowOff>
    </xdr:from>
    <xdr:ext cx="1294920" cy="57960"/>
    <xdr:pic>
      <xdr:nvPicPr>
        <xdr:cNvPr id="170" name="Picture 1">
          <a:extLst>
            <a:ext uri="{FF2B5EF4-FFF2-40B4-BE49-F238E27FC236}">
              <a16:creationId xmlns:a16="http://schemas.microsoft.com/office/drawing/2014/main" id="{A5241D01-6555-49B1-BFED-27361AFFC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4313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66</xdr:row>
      <xdr:rowOff>144000</xdr:rowOff>
    </xdr:from>
    <xdr:ext cx="1294920" cy="57960"/>
    <xdr:pic>
      <xdr:nvPicPr>
        <xdr:cNvPr id="171" name="Picture 1">
          <a:extLst>
            <a:ext uri="{FF2B5EF4-FFF2-40B4-BE49-F238E27FC236}">
              <a16:creationId xmlns:a16="http://schemas.microsoft.com/office/drawing/2014/main" id="{E692CD04-73A2-46A3-BA79-0946CCB0C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4313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66</xdr:row>
      <xdr:rowOff>144000</xdr:rowOff>
    </xdr:from>
    <xdr:ext cx="1294920" cy="57960"/>
    <xdr:pic>
      <xdr:nvPicPr>
        <xdr:cNvPr id="172" name="Picture 1">
          <a:extLst>
            <a:ext uri="{FF2B5EF4-FFF2-40B4-BE49-F238E27FC236}">
              <a16:creationId xmlns:a16="http://schemas.microsoft.com/office/drawing/2014/main" id="{A7361B3A-29D6-4D0C-8B44-5C16F4AAD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4313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67</xdr:row>
      <xdr:rowOff>144360</xdr:rowOff>
    </xdr:from>
    <xdr:ext cx="1294920" cy="57240"/>
    <xdr:pic>
      <xdr:nvPicPr>
        <xdr:cNvPr id="173" name="Picture 1">
          <a:extLst>
            <a:ext uri="{FF2B5EF4-FFF2-40B4-BE49-F238E27FC236}">
              <a16:creationId xmlns:a16="http://schemas.microsoft.com/office/drawing/2014/main" id="{62C6A4FA-8A78-47AC-9B91-8FB2C7872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63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67</xdr:row>
      <xdr:rowOff>144360</xdr:rowOff>
    </xdr:from>
    <xdr:ext cx="1294920" cy="57240"/>
    <xdr:pic>
      <xdr:nvPicPr>
        <xdr:cNvPr id="174" name="Picture 1">
          <a:extLst>
            <a:ext uri="{FF2B5EF4-FFF2-40B4-BE49-F238E27FC236}">
              <a16:creationId xmlns:a16="http://schemas.microsoft.com/office/drawing/2014/main" id="{4236480D-0095-4B4E-932F-89A98E5C7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63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67</xdr:row>
      <xdr:rowOff>144360</xdr:rowOff>
    </xdr:from>
    <xdr:ext cx="1294920" cy="57240"/>
    <xdr:pic>
      <xdr:nvPicPr>
        <xdr:cNvPr id="175" name="Picture 1">
          <a:extLst>
            <a:ext uri="{FF2B5EF4-FFF2-40B4-BE49-F238E27FC236}">
              <a16:creationId xmlns:a16="http://schemas.microsoft.com/office/drawing/2014/main" id="{CA74AF59-627A-47F3-960C-B2B9D0AAE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63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68</xdr:row>
      <xdr:rowOff>144360</xdr:rowOff>
    </xdr:from>
    <xdr:ext cx="1294920" cy="57240"/>
    <xdr:pic>
      <xdr:nvPicPr>
        <xdr:cNvPr id="176" name="Picture 1">
          <a:extLst>
            <a:ext uri="{FF2B5EF4-FFF2-40B4-BE49-F238E27FC236}">
              <a16:creationId xmlns:a16="http://schemas.microsoft.com/office/drawing/2014/main" id="{9EAECF42-78A9-4220-B948-CE040AA96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8317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68</xdr:row>
      <xdr:rowOff>144360</xdr:rowOff>
    </xdr:from>
    <xdr:ext cx="1294920" cy="57240"/>
    <xdr:pic>
      <xdr:nvPicPr>
        <xdr:cNvPr id="177" name="Picture 1">
          <a:extLst>
            <a:ext uri="{FF2B5EF4-FFF2-40B4-BE49-F238E27FC236}">
              <a16:creationId xmlns:a16="http://schemas.microsoft.com/office/drawing/2014/main" id="{FAE5B1A5-CE92-4101-8372-2C435B6EA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8317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68</xdr:row>
      <xdr:rowOff>144360</xdr:rowOff>
    </xdr:from>
    <xdr:ext cx="1294920" cy="57240"/>
    <xdr:pic>
      <xdr:nvPicPr>
        <xdr:cNvPr id="178" name="Picture 1">
          <a:extLst>
            <a:ext uri="{FF2B5EF4-FFF2-40B4-BE49-F238E27FC236}">
              <a16:creationId xmlns:a16="http://schemas.microsoft.com/office/drawing/2014/main" id="{0A522CBA-9CE9-46F9-A815-390D6B1F9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8317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69</xdr:row>
      <xdr:rowOff>144000</xdr:rowOff>
    </xdr:from>
    <xdr:ext cx="1294920" cy="57240"/>
    <xdr:pic>
      <xdr:nvPicPr>
        <xdr:cNvPr id="179" name="Picture 1">
          <a:extLst>
            <a:ext uri="{FF2B5EF4-FFF2-40B4-BE49-F238E27FC236}">
              <a16:creationId xmlns:a16="http://schemas.microsoft.com/office/drawing/2014/main" id="{4B9ECD5B-165C-4D90-BA52-0BADE751A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03145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294920" cy="57240"/>
    <xdr:pic>
      <xdr:nvPicPr>
        <xdr:cNvPr id="180" name="Picture 1">
          <a:extLst>
            <a:ext uri="{FF2B5EF4-FFF2-40B4-BE49-F238E27FC236}">
              <a16:creationId xmlns:a16="http://schemas.microsoft.com/office/drawing/2014/main" id="{58A5A70D-FD1A-4E8F-A507-40D8190D2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294920" cy="57240"/>
    <xdr:pic>
      <xdr:nvPicPr>
        <xdr:cNvPr id="181" name="Picture 1">
          <a:extLst>
            <a:ext uri="{FF2B5EF4-FFF2-40B4-BE49-F238E27FC236}">
              <a16:creationId xmlns:a16="http://schemas.microsoft.com/office/drawing/2014/main" id="{205F43CA-195E-45F0-9F09-9469C68DE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294920" cy="57960"/>
    <xdr:pic>
      <xdr:nvPicPr>
        <xdr:cNvPr id="182" name="Picture 1">
          <a:extLst>
            <a:ext uri="{FF2B5EF4-FFF2-40B4-BE49-F238E27FC236}">
              <a16:creationId xmlns:a16="http://schemas.microsoft.com/office/drawing/2014/main" id="{330828CF-F290-4964-A266-008197798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294920" cy="57960"/>
    <xdr:pic>
      <xdr:nvPicPr>
        <xdr:cNvPr id="183" name="Picture 1">
          <a:extLst>
            <a:ext uri="{FF2B5EF4-FFF2-40B4-BE49-F238E27FC236}">
              <a16:creationId xmlns:a16="http://schemas.microsoft.com/office/drawing/2014/main" id="{559DA9DC-420C-48EB-A7BE-830F09A18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294920" cy="57960"/>
    <xdr:pic>
      <xdr:nvPicPr>
        <xdr:cNvPr id="184" name="Picture 1">
          <a:extLst>
            <a:ext uri="{FF2B5EF4-FFF2-40B4-BE49-F238E27FC236}">
              <a16:creationId xmlns:a16="http://schemas.microsoft.com/office/drawing/2014/main" id="{31BC9C45-57DD-4D0B-A882-16F5255B7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72</xdr:row>
      <xdr:rowOff>144360</xdr:rowOff>
    </xdr:from>
    <xdr:ext cx="1294920" cy="57240"/>
    <xdr:pic>
      <xdr:nvPicPr>
        <xdr:cNvPr id="185" name="Picture 1">
          <a:extLst>
            <a:ext uri="{FF2B5EF4-FFF2-40B4-BE49-F238E27FC236}">
              <a16:creationId xmlns:a16="http://schemas.microsoft.com/office/drawing/2014/main" id="{6EDD3EE4-6C41-4DFF-96F9-547CC3000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6318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72</xdr:row>
      <xdr:rowOff>144360</xdr:rowOff>
    </xdr:from>
    <xdr:ext cx="1294920" cy="57240"/>
    <xdr:pic>
      <xdr:nvPicPr>
        <xdr:cNvPr id="186" name="Picture 1">
          <a:extLst>
            <a:ext uri="{FF2B5EF4-FFF2-40B4-BE49-F238E27FC236}">
              <a16:creationId xmlns:a16="http://schemas.microsoft.com/office/drawing/2014/main" id="{F70D898B-0947-48A0-A4C8-DED81C51A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6318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72</xdr:row>
      <xdr:rowOff>144360</xdr:rowOff>
    </xdr:from>
    <xdr:ext cx="1294920" cy="57240"/>
    <xdr:pic>
      <xdr:nvPicPr>
        <xdr:cNvPr id="187" name="Picture 1">
          <a:extLst>
            <a:ext uri="{FF2B5EF4-FFF2-40B4-BE49-F238E27FC236}">
              <a16:creationId xmlns:a16="http://schemas.microsoft.com/office/drawing/2014/main" id="{B039A5F8-A3A6-4C51-A118-3D29AF142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6318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73</xdr:row>
      <xdr:rowOff>144360</xdr:rowOff>
    </xdr:from>
    <xdr:ext cx="1294920" cy="57240"/>
    <xdr:pic>
      <xdr:nvPicPr>
        <xdr:cNvPr id="188" name="Picture 1">
          <a:extLst>
            <a:ext uri="{FF2B5EF4-FFF2-40B4-BE49-F238E27FC236}">
              <a16:creationId xmlns:a16="http://schemas.microsoft.com/office/drawing/2014/main" id="{9A9B3723-053D-4358-A348-1B4759B11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8319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73</xdr:row>
      <xdr:rowOff>144360</xdr:rowOff>
    </xdr:from>
    <xdr:ext cx="1294920" cy="57240"/>
    <xdr:pic>
      <xdr:nvPicPr>
        <xdr:cNvPr id="189" name="Picture 1">
          <a:extLst>
            <a:ext uri="{FF2B5EF4-FFF2-40B4-BE49-F238E27FC236}">
              <a16:creationId xmlns:a16="http://schemas.microsoft.com/office/drawing/2014/main" id="{CE7404AC-29EF-494D-8289-15D814543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8319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73</xdr:row>
      <xdr:rowOff>144360</xdr:rowOff>
    </xdr:from>
    <xdr:ext cx="1294920" cy="57240"/>
    <xdr:pic>
      <xdr:nvPicPr>
        <xdr:cNvPr id="190" name="Picture 1">
          <a:extLst>
            <a:ext uri="{FF2B5EF4-FFF2-40B4-BE49-F238E27FC236}">
              <a16:creationId xmlns:a16="http://schemas.microsoft.com/office/drawing/2014/main" id="{155CE7F1-CD62-4D33-9685-83FB3121C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8319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74</xdr:row>
      <xdr:rowOff>144000</xdr:rowOff>
    </xdr:from>
    <xdr:ext cx="1294920" cy="57960"/>
    <xdr:pic>
      <xdr:nvPicPr>
        <xdr:cNvPr id="191" name="Picture 1">
          <a:extLst>
            <a:ext uri="{FF2B5EF4-FFF2-40B4-BE49-F238E27FC236}">
              <a16:creationId xmlns:a16="http://schemas.microsoft.com/office/drawing/2014/main" id="{ECB0ADA6-63CC-41FE-B550-9E836E0E1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0315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74</xdr:row>
      <xdr:rowOff>144000</xdr:rowOff>
    </xdr:from>
    <xdr:ext cx="1294920" cy="57960"/>
    <xdr:pic>
      <xdr:nvPicPr>
        <xdr:cNvPr id="192" name="Picture 1">
          <a:extLst>
            <a:ext uri="{FF2B5EF4-FFF2-40B4-BE49-F238E27FC236}">
              <a16:creationId xmlns:a16="http://schemas.microsoft.com/office/drawing/2014/main" id="{A07F7A3B-8476-4497-88FD-CF180116B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0315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74</xdr:row>
      <xdr:rowOff>144000</xdr:rowOff>
    </xdr:from>
    <xdr:ext cx="1294920" cy="57960"/>
    <xdr:pic>
      <xdr:nvPicPr>
        <xdr:cNvPr id="193" name="Picture 1">
          <a:extLst>
            <a:ext uri="{FF2B5EF4-FFF2-40B4-BE49-F238E27FC236}">
              <a16:creationId xmlns:a16="http://schemas.microsoft.com/office/drawing/2014/main" id="{9D1465B1-9258-4A51-A6B9-BEF190A45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0315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75</xdr:row>
      <xdr:rowOff>144360</xdr:rowOff>
    </xdr:from>
    <xdr:ext cx="1294920" cy="57240"/>
    <xdr:pic>
      <xdr:nvPicPr>
        <xdr:cNvPr id="194" name="Picture 1">
          <a:extLst>
            <a:ext uri="{FF2B5EF4-FFF2-40B4-BE49-F238E27FC236}">
              <a16:creationId xmlns:a16="http://schemas.microsoft.com/office/drawing/2014/main" id="{9E265C41-90CC-4765-8A6D-1D91FB3BF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2319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75</xdr:row>
      <xdr:rowOff>144360</xdr:rowOff>
    </xdr:from>
    <xdr:ext cx="1294920" cy="57240"/>
    <xdr:pic>
      <xdr:nvPicPr>
        <xdr:cNvPr id="195" name="Picture 1">
          <a:extLst>
            <a:ext uri="{FF2B5EF4-FFF2-40B4-BE49-F238E27FC236}">
              <a16:creationId xmlns:a16="http://schemas.microsoft.com/office/drawing/2014/main" id="{CECCD9A6-9A22-490A-88A3-B78938DF0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2319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76</xdr:row>
      <xdr:rowOff>144000</xdr:rowOff>
    </xdr:from>
    <xdr:ext cx="1294920" cy="57960"/>
    <xdr:pic>
      <xdr:nvPicPr>
        <xdr:cNvPr id="196" name="Picture 1">
          <a:extLst>
            <a:ext uri="{FF2B5EF4-FFF2-40B4-BE49-F238E27FC236}">
              <a16:creationId xmlns:a16="http://schemas.microsoft.com/office/drawing/2014/main" id="{A8DF6B5C-416E-4B75-BEA3-2F11F48FC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4316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76</xdr:row>
      <xdr:rowOff>144000</xdr:rowOff>
    </xdr:from>
    <xdr:ext cx="1294920" cy="57960"/>
    <xdr:pic>
      <xdr:nvPicPr>
        <xdr:cNvPr id="197" name="Picture 1">
          <a:extLst>
            <a:ext uri="{FF2B5EF4-FFF2-40B4-BE49-F238E27FC236}">
              <a16:creationId xmlns:a16="http://schemas.microsoft.com/office/drawing/2014/main" id="{28EF279B-C6CB-448C-A766-E02185A88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4316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77</xdr:row>
      <xdr:rowOff>144360</xdr:rowOff>
    </xdr:from>
    <xdr:ext cx="1294920" cy="57240"/>
    <xdr:pic>
      <xdr:nvPicPr>
        <xdr:cNvPr id="198" name="Picture 1">
          <a:extLst>
            <a:ext uri="{FF2B5EF4-FFF2-40B4-BE49-F238E27FC236}">
              <a16:creationId xmlns:a16="http://schemas.microsoft.com/office/drawing/2014/main" id="{194B1385-360F-4F46-8A54-564BDECF9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6320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77</xdr:row>
      <xdr:rowOff>144360</xdr:rowOff>
    </xdr:from>
    <xdr:ext cx="1294920" cy="57240"/>
    <xdr:pic>
      <xdr:nvPicPr>
        <xdr:cNvPr id="199" name="Picture 1">
          <a:extLst>
            <a:ext uri="{FF2B5EF4-FFF2-40B4-BE49-F238E27FC236}">
              <a16:creationId xmlns:a16="http://schemas.microsoft.com/office/drawing/2014/main" id="{956309FC-6A38-40A2-9B8E-C042C528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6320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77</xdr:row>
      <xdr:rowOff>144360</xdr:rowOff>
    </xdr:from>
    <xdr:ext cx="1294920" cy="57240"/>
    <xdr:pic>
      <xdr:nvPicPr>
        <xdr:cNvPr id="200" name="Picture 1">
          <a:extLst>
            <a:ext uri="{FF2B5EF4-FFF2-40B4-BE49-F238E27FC236}">
              <a16:creationId xmlns:a16="http://schemas.microsoft.com/office/drawing/2014/main" id="{F8A3DA0D-A79D-4AF8-9E88-6F6F43562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6320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78</xdr:row>
      <xdr:rowOff>144360</xdr:rowOff>
    </xdr:from>
    <xdr:ext cx="1294920" cy="57240"/>
    <xdr:pic>
      <xdr:nvPicPr>
        <xdr:cNvPr id="201" name="Picture 1">
          <a:extLst>
            <a:ext uri="{FF2B5EF4-FFF2-40B4-BE49-F238E27FC236}">
              <a16:creationId xmlns:a16="http://schemas.microsoft.com/office/drawing/2014/main" id="{AD498245-8E14-4469-A442-63C4856E4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8320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78</xdr:row>
      <xdr:rowOff>144360</xdr:rowOff>
    </xdr:from>
    <xdr:ext cx="1294920" cy="57240"/>
    <xdr:pic>
      <xdr:nvPicPr>
        <xdr:cNvPr id="202" name="Picture 1">
          <a:extLst>
            <a:ext uri="{FF2B5EF4-FFF2-40B4-BE49-F238E27FC236}">
              <a16:creationId xmlns:a16="http://schemas.microsoft.com/office/drawing/2014/main" id="{2F50D228-5F24-4F6B-8AA8-A2C215CCB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8320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78</xdr:row>
      <xdr:rowOff>144360</xdr:rowOff>
    </xdr:from>
    <xdr:ext cx="1294920" cy="57240"/>
    <xdr:pic>
      <xdr:nvPicPr>
        <xdr:cNvPr id="203" name="Picture 1">
          <a:extLst>
            <a:ext uri="{FF2B5EF4-FFF2-40B4-BE49-F238E27FC236}">
              <a16:creationId xmlns:a16="http://schemas.microsoft.com/office/drawing/2014/main" id="{3928C7E8-6242-43F7-96F8-8D96AACFF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8320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79</xdr:row>
      <xdr:rowOff>144000</xdr:rowOff>
    </xdr:from>
    <xdr:ext cx="1294920" cy="57960"/>
    <xdr:pic>
      <xdr:nvPicPr>
        <xdr:cNvPr id="204" name="Picture 1">
          <a:extLst>
            <a:ext uri="{FF2B5EF4-FFF2-40B4-BE49-F238E27FC236}">
              <a16:creationId xmlns:a16="http://schemas.microsoft.com/office/drawing/2014/main" id="{7A83E129-BE62-4F9B-8677-1193EA920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0317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79</xdr:row>
      <xdr:rowOff>144000</xdr:rowOff>
    </xdr:from>
    <xdr:ext cx="1294920" cy="57960"/>
    <xdr:pic>
      <xdr:nvPicPr>
        <xdr:cNvPr id="205" name="Picture 1">
          <a:extLst>
            <a:ext uri="{FF2B5EF4-FFF2-40B4-BE49-F238E27FC236}">
              <a16:creationId xmlns:a16="http://schemas.microsoft.com/office/drawing/2014/main" id="{BCB0DD3C-609C-4AEE-84C3-491D3A2C1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0317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79</xdr:row>
      <xdr:rowOff>144000</xdr:rowOff>
    </xdr:from>
    <xdr:ext cx="1294920" cy="57960"/>
    <xdr:pic>
      <xdr:nvPicPr>
        <xdr:cNvPr id="206" name="Picture 1">
          <a:extLst>
            <a:ext uri="{FF2B5EF4-FFF2-40B4-BE49-F238E27FC236}">
              <a16:creationId xmlns:a16="http://schemas.microsoft.com/office/drawing/2014/main" id="{5CAF008A-078D-4DF2-B528-07BC784F7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0317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80</xdr:row>
      <xdr:rowOff>144360</xdr:rowOff>
    </xdr:from>
    <xdr:ext cx="1294920" cy="57240"/>
    <xdr:pic>
      <xdr:nvPicPr>
        <xdr:cNvPr id="207" name="Picture 1">
          <a:extLst>
            <a:ext uri="{FF2B5EF4-FFF2-40B4-BE49-F238E27FC236}">
              <a16:creationId xmlns:a16="http://schemas.microsoft.com/office/drawing/2014/main" id="{0C0FF1B0-EFB5-4B5C-904A-FB373280D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2320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80</xdr:row>
      <xdr:rowOff>144360</xdr:rowOff>
    </xdr:from>
    <xdr:ext cx="1294920" cy="57240"/>
    <xdr:pic>
      <xdr:nvPicPr>
        <xdr:cNvPr id="208" name="Picture 1">
          <a:extLst>
            <a:ext uri="{FF2B5EF4-FFF2-40B4-BE49-F238E27FC236}">
              <a16:creationId xmlns:a16="http://schemas.microsoft.com/office/drawing/2014/main" id="{225F347A-1E67-49CD-9471-0D5583612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2320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80</xdr:row>
      <xdr:rowOff>144360</xdr:rowOff>
    </xdr:from>
    <xdr:ext cx="1294920" cy="57240"/>
    <xdr:pic>
      <xdr:nvPicPr>
        <xdr:cNvPr id="209" name="Picture 1">
          <a:extLst>
            <a:ext uri="{FF2B5EF4-FFF2-40B4-BE49-F238E27FC236}">
              <a16:creationId xmlns:a16="http://schemas.microsoft.com/office/drawing/2014/main" id="{D8505149-06C5-47D4-B7D2-0FD953B5B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2320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81</xdr:row>
      <xdr:rowOff>144360</xdr:rowOff>
    </xdr:from>
    <xdr:ext cx="1294920" cy="57240"/>
    <xdr:pic>
      <xdr:nvPicPr>
        <xdr:cNvPr id="210" name="Picture 1">
          <a:extLst>
            <a:ext uri="{FF2B5EF4-FFF2-40B4-BE49-F238E27FC236}">
              <a16:creationId xmlns:a16="http://schemas.microsoft.com/office/drawing/2014/main" id="{D73436BD-E650-44B1-BE71-53193C053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432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81</xdr:row>
      <xdr:rowOff>144360</xdr:rowOff>
    </xdr:from>
    <xdr:ext cx="1294920" cy="57240"/>
    <xdr:pic>
      <xdr:nvPicPr>
        <xdr:cNvPr id="211" name="Picture 1">
          <a:extLst>
            <a:ext uri="{FF2B5EF4-FFF2-40B4-BE49-F238E27FC236}">
              <a16:creationId xmlns:a16="http://schemas.microsoft.com/office/drawing/2014/main" id="{B7C19408-E609-423B-9159-D789A4022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432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81</xdr:row>
      <xdr:rowOff>144360</xdr:rowOff>
    </xdr:from>
    <xdr:ext cx="1294920" cy="57240"/>
    <xdr:pic>
      <xdr:nvPicPr>
        <xdr:cNvPr id="212" name="Picture 1">
          <a:extLst>
            <a:ext uri="{FF2B5EF4-FFF2-40B4-BE49-F238E27FC236}">
              <a16:creationId xmlns:a16="http://schemas.microsoft.com/office/drawing/2014/main" id="{89A1EC85-8AEF-40E2-85C5-95753B3D8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432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82</xdr:row>
      <xdr:rowOff>144000</xdr:rowOff>
    </xdr:from>
    <xdr:ext cx="1294920" cy="57960"/>
    <xdr:pic>
      <xdr:nvPicPr>
        <xdr:cNvPr id="213" name="Picture 1">
          <a:extLst>
            <a:ext uri="{FF2B5EF4-FFF2-40B4-BE49-F238E27FC236}">
              <a16:creationId xmlns:a16="http://schemas.microsoft.com/office/drawing/2014/main" id="{0D9ADFEF-2253-411F-9DCC-9D0552E7D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622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82</xdr:row>
      <xdr:rowOff>144000</xdr:rowOff>
    </xdr:from>
    <xdr:ext cx="1294920" cy="57960"/>
    <xdr:pic>
      <xdr:nvPicPr>
        <xdr:cNvPr id="214" name="Picture 1">
          <a:extLst>
            <a:ext uri="{FF2B5EF4-FFF2-40B4-BE49-F238E27FC236}">
              <a16:creationId xmlns:a16="http://schemas.microsoft.com/office/drawing/2014/main" id="{E28F6ADE-564E-49EB-80E7-945682ED7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622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82</xdr:row>
      <xdr:rowOff>144000</xdr:rowOff>
    </xdr:from>
    <xdr:ext cx="1294920" cy="57960"/>
    <xdr:pic>
      <xdr:nvPicPr>
        <xdr:cNvPr id="215" name="Picture 1">
          <a:extLst>
            <a:ext uri="{FF2B5EF4-FFF2-40B4-BE49-F238E27FC236}">
              <a16:creationId xmlns:a16="http://schemas.microsoft.com/office/drawing/2014/main" id="{94695010-B7D7-4C03-A51D-02891E835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622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83</xdr:row>
      <xdr:rowOff>144360</xdr:rowOff>
    </xdr:from>
    <xdr:ext cx="1294920" cy="57240"/>
    <xdr:pic>
      <xdr:nvPicPr>
        <xdr:cNvPr id="216" name="Picture 1">
          <a:extLst>
            <a:ext uri="{FF2B5EF4-FFF2-40B4-BE49-F238E27FC236}">
              <a16:creationId xmlns:a16="http://schemas.microsoft.com/office/drawing/2014/main" id="{D1202D9F-E9F5-43BD-876E-79B63DF12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813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83</xdr:row>
      <xdr:rowOff>144360</xdr:rowOff>
    </xdr:from>
    <xdr:ext cx="1294920" cy="57240"/>
    <xdr:pic>
      <xdr:nvPicPr>
        <xdr:cNvPr id="217" name="Picture 1">
          <a:extLst>
            <a:ext uri="{FF2B5EF4-FFF2-40B4-BE49-F238E27FC236}">
              <a16:creationId xmlns:a16="http://schemas.microsoft.com/office/drawing/2014/main" id="{B7374DEE-F86A-4779-BAC4-14F378405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813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83</xdr:row>
      <xdr:rowOff>144360</xdr:rowOff>
    </xdr:from>
    <xdr:ext cx="1294920" cy="57240"/>
    <xdr:pic>
      <xdr:nvPicPr>
        <xdr:cNvPr id="218" name="Picture 1">
          <a:extLst>
            <a:ext uri="{FF2B5EF4-FFF2-40B4-BE49-F238E27FC236}">
              <a16:creationId xmlns:a16="http://schemas.microsoft.com/office/drawing/2014/main" id="{240AEA72-47F8-4941-9C23-B232B0F52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813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219" name="Picture 1">
          <a:extLst>
            <a:ext uri="{FF2B5EF4-FFF2-40B4-BE49-F238E27FC236}">
              <a16:creationId xmlns:a16="http://schemas.microsoft.com/office/drawing/2014/main" id="{F529AF05-2506-406C-A8D1-486D155DE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220" name="Picture 1">
          <a:extLst>
            <a:ext uri="{FF2B5EF4-FFF2-40B4-BE49-F238E27FC236}">
              <a16:creationId xmlns:a16="http://schemas.microsoft.com/office/drawing/2014/main" id="{4380E3BA-C0F3-4E96-ACBE-50495668B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221" name="Picture 1">
          <a:extLst>
            <a:ext uri="{FF2B5EF4-FFF2-40B4-BE49-F238E27FC236}">
              <a16:creationId xmlns:a16="http://schemas.microsoft.com/office/drawing/2014/main" id="{0CE410F5-58C3-44E8-BA7C-09AF0226F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85</xdr:row>
      <xdr:rowOff>144360</xdr:rowOff>
    </xdr:from>
    <xdr:ext cx="1294920" cy="57240"/>
    <xdr:pic>
      <xdr:nvPicPr>
        <xdr:cNvPr id="222" name="Picture 1">
          <a:extLst>
            <a:ext uri="{FF2B5EF4-FFF2-40B4-BE49-F238E27FC236}">
              <a16:creationId xmlns:a16="http://schemas.microsoft.com/office/drawing/2014/main" id="{B54A48F9-6CF1-4DFD-AB93-9D26A2E22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194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85</xdr:row>
      <xdr:rowOff>144360</xdr:rowOff>
    </xdr:from>
    <xdr:ext cx="1294920" cy="57240"/>
    <xdr:pic>
      <xdr:nvPicPr>
        <xdr:cNvPr id="223" name="Picture 1">
          <a:extLst>
            <a:ext uri="{FF2B5EF4-FFF2-40B4-BE49-F238E27FC236}">
              <a16:creationId xmlns:a16="http://schemas.microsoft.com/office/drawing/2014/main" id="{50658300-B0FE-4560-87D6-45D062740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194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87</xdr:row>
      <xdr:rowOff>144000</xdr:rowOff>
    </xdr:from>
    <xdr:ext cx="1294920" cy="57960"/>
    <xdr:pic>
      <xdr:nvPicPr>
        <xdr:cNvPr id="224" name="Picture 1">
          <a:extLst>
            <a:ext uri="{FF2B5EF4-FFF2-40B4-BE49-F238E27FC236}">
              <a16:creationId xmlns:a16="http://schemas.microsoft.com/office/drawing/2014/main" id="{7D99F581-396E-4F1A-AAAE-B7D6DB552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5747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87</xdr:row>
      <xdr:rowOff>144000</xdr:rowOff>
    </xdr:from>
    <xdr:ext cx="1294920" cy="57960"/>
    <xdr:pic>
      <xdr:nvPicPr>
        <xdr:cNvPr id="225" name="Picture 1">
          <a:extLst>
            <a:ext uri="{FF2B5EF4-FFF2-40B4-BE49-F238E27FC236}">
              <a16:creationId xmlns:a16="http://schemas.microsoft.com/office/drawing/2014/main" id="{E2F4200A-62AA-44C3-9A3D-B0EDC672F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5747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87</xdr:row>
      <xdr:rowOff>144000</xdr:rowOff>
    </xdr:from>
    <xdr:ext cx="1294920" cy="57960"/>
    <xdr:pic>
      <xdr:nvPicPr>
        <xdr:cNvPr id="226" name="Picture 1">
          <a:extLst>
            <a:ext uri="{FF2B5EF4-FFF2-40B4-BE49-F238E27FC236}">
              <a16:creationId xmlns:a16="http://schemas.microsoft.com/office/drawing/2014/main" id="{230EE88C-237B-4615-8E60-13510756A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5747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227" name="Picture 1">
          <a:extLst>
            <a:ext uri="{FF2B5EF4-FFF2-40B4-BE49-F238E27FC236}">
              <a16:creationId xmlns:a16="http://schemas.microsoft.com/office/drawing/2014/main" id="{B81A0068-3D66-4E62-ADA6-E69E5958C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228" name="Picture 1">
          <a:extLst>
            <a:ext uri="{FF2B5EF4-FFF2-40B4-BE49-F238E27FC236}">
              <a16:creationId xmlns:a16="http://schemas.microsoft.com/office/drawing/2014/main" id="{BDC00115-306E-45CF-BE29-26682B52E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229" name="Picture 1">
          <a:extLst>
            <a:ext uri="{FF2B5EF4-FFF2-40B4-BE49-F238E27FC236}">
              <a16:creationId xmlns:a16="http://schemas.microsoft.com/office/drawing/2014/main" id="{36C44B19-60B2-40D4-8BF1-308B5F382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230" name="Picture 1">
          <a:extLst>
            <a:ext uri="{FF2B5EF4-FFF2-40B4-BE49-F238E27FC236}">
              <a16:creationId xmlns:a16="http://schemas.microsoft.com/office/drawing/2014/main" id="{7D5B96EF-A74F-478F-80C1-470E8685E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231" name="Picture 1">
          <a:extLst>
            <a:ext uri="{FF2B5EF4-FFF2-40B4-BE49-F238E27FC236}">
              <a16:creationId xmlns:a16="http://schemas.microsoft.com/office/drawing/2014/main" id="{71157A0F-2CA3-444F-B823-DB492C80A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86</xdr:row>
      <xdr:rowOff>144360</xdr:rowOff>
    </xdr:from>
    <xdr:ext cx="1294920" cy="57240"/>
    <xdr:pic>
      <xdr:nvPicPr>
        <xdr:cNvPr id="232" name="Picture 1">
          <a:extLst>
            <a:ext uri="{FF2B5EF4-FFF2-40B4-BE49-F238E27FC236}">
              <a16:creationId xmlns:a16="http://schemas.microsoft.com/office/drawing/2014/main" id="{351E92E5-B2DF-488E-92C3-7C0B447E6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3846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86</xdr:row>
      <xdr:rowOff>144360</xdr:rowOff>
    </xdr:from>
    <xdr:ext cx="1294920" cy="57240"/>
    <xdr:pic>
      <xdr:nvPicPr>
        <xdr:cNvPr id="233" name="Picture 1">
          <a:extLst>
            <a:ext uri="{FF2B5EF4-FFF2-40B4-BE49-F238E27FC236}">
              <a16:creationId xmlns:a16="http://schemas.microsoft.com/office/drawing/2014/main" id="{D3C0CD55-9DCF-465E-95EA-BBBE925B8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3846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86</xdr:row>
      <xdr:rowOff>144360</xdr:rowOff>
    </xdr:from>
    <xdr:ext cx="1294920" cy="57240"/>
    <xdr:pic>
      <xdr:nvPicPr>
        <xdr:cNvPr id="234" name="Picture 1">
          <a:extLst>
            <a:ext uri="{FF2B5EF4-FFF2-40B4-BE49-F238E27FC236}">
              <a16:creationId xmlns:a16="http://schemas.microsoft.com/office/drawing/2014/main" id="{041D52E8-2766-49E0-BA96-B0FE28DA3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3846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86</xdr:row>
      <xdr:rowOff>144360</xdr:rowOff>
    </xdr:from>
    <xdr:ext cx="1294920" cy="57240"/>
    <xdr:pic>
      <xdr:nvPicPr>
        <xdr:cNvPr id="235" name="Picture 1">
          <a:extLst>
            <a:ext uri="{FF2B5EF4-FFF2-40B4-BE49-F238E27FC236}">
              <a16:creationId xmlns:a16="http://schemas.microsoft.com/office/drawing/2014/main" id="{34A99772-2BC7-4521-A71B-4EA377F39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3846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86</xdr:row>
      <xdr:rowOff>144360</xdr:rowOff>
    </xdr:from>
    <xdr:ext cx="1294920" cy="57240"/>
    <xdr:pic>
      <xdr:nvPicPr>
        <xdr:cNvPr id="236" name="Picture 1">
          <a:extLst>
            <a:ext uri="{FF2B5EF4-FFF2-40B4-BE49-F238E27FC236}">
              <a16:creationId xmlns:a16="http://schemas.microsoft.com/office/drawing/2014/main" id="{CDFA8EBF-9B0E-41E0-AA37-3F2402F2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3846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69</xdr:row>
      <xdr:rowOff>144000</xdr:rowOff>
    </xdr:from>
    <xdr:ext cx="1294920" cy="57240"/>
    <xdr:pic>
      <xdr:nvPicPr>
        <xdr:cNvPr id="237" name="Picture 1">
          <a:extLst>
            <a:ext uri="{FF2B5EF4-FFF2-40B4-BE49-F238E27FC236}">
              <a16:creationId xmlns:a16="http://schemas.microsoft.com/office/drawing/2014/main" id="{7BB73946-3716-494A-9200-E83AC19DB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03145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238" name="Picture 1">
          <a:extLst>
            <a:ext uri="{FF2B5EF4-FFF2-40B4-BE49-F238E27FC236}">
              <a16:creationId xmlns:a16="http://schemas.microsoft.com/office/drawing/2014/main" id="{1F0B3BF4-97E3-43FF-ACC7-6C9200C41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239" name="Picture 1">
          <a:extLst>
            <a:ext uri="{FF2B5EF4-FFF2-40B4-BE49-F238E27FC236}">
              <a16:creationId xmlns:a16="http://schemas.microsoft.com/office/drawing/2014/main" id="{F5358440-D224-4F0A-AC5A-A34A3286E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240" name="Picture 1">
          <a:extLst>
            <a:ext uri="{FF2B5EF4-FFF2-40B4-BE49-F238E27FC236}">
              <a16:creationId xmlns:a16="http://schemas.microsoft.com/office/drawing/2014/main" id="{AA5DF936-307B-4767-9AC5-5161BB246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241" name="Picture 1">
          <a:extLst>
            <a:ext uri="{FF2B5EF4-FFF2-40B4-BE49-F238E27FC236}">
              <a16:creationId xmlns:a16="http://schemas.microsoft.com/office/drawing/2014/main" id="{59D8F5E0-6A05-423F-A4CC-17257AB43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242" name="Picture 1">
          <a:extLst>
            <a:ext uri="{FF2B5EF4-FFF2-40B4-BE49-F238E27FC236}">
              <a16:creationId xmlns:a16="http://schemas.microsoft.com/office/drawing/2014/main" id="{9D927FEA-8C93-4248-9E30-81D5312ED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243" name="Picture 1">
          <a:extLst>
            <a:ext uri="{FF2B5EF4-FFF2-40B4-BE49-F238E27FC236}">
              <a16:creationId xmlns:a16="http://schemas.microsoft.com/office/drawing/2014/main" id="{911556C0-FB7B-4DDA-AA7C-B95E323BD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244" name="Picture 1">
          <a:extLst>
            <a:ext uri="{FF2B5EF4-FFF2-40B4-BE49-F238E27FC236}">
              <a16:creationId xmlns:a16="http://schemas.microsoft.com/office/drawing/2014/main" id="{07B83491-D551-4418-9BE4-D389C3769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245" name="Picture 1">
          <a:extLst>
            <a:ext uri="{FF2B5EF4-FFF2-40B4-BE49-F238E27FC236}">
              <a16:creationId xmlns:a16="http://schemas.microsoft.com/office/drawing/2014/main" id="{7D5EE6EB-94FB-4E57-A797-87D201526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246" name="Picture 1">
          <a:extLst>
            <a:ext uri="{FF2B5EF4-FFF2-40B4-BE49-F238E27FC236}">
              <a16:creationId xmlns:a16="http://schemas.microsoft.com/office/drawing/2014/main" id="{AF61875A-4A47-42F7-BB1D-1C5CEA657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247" name="Picture 1">
          <a:extLst>
            <a:ext uri="{FF2B5EF4-FFF2-40B4-BE49-F238E27FC236}">
              <a16:creationId xmlns:a16="http://schemas.microsoft.com/office/drawing/2014/main" id="{C74883DF-1752-4D65-B4FB-FF1FF9820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248" name="Picture 1">
          <a:extLst>
            <a:ext uri="{FF2B5EF4-FFF2-40B4-BE49-F238E27FC236}">
              <a16:creationId xmlns:a16="http://schemas.microsoft.com/office/drawing/2014/main" id="{2D1923E2-434F-48C5-BC40-C861D7181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249" name="Picture 1">
          <a:extLst>
            <a:ext uri="{FF2B5EF4-FFF2-40B4-BE49-F238E27FC236}">
              <a16:creationId xmlns:a16="http://schemas.microsoft.com/office/drawing/2014/main" id="{AFDE57AF-106A-4438-B1E0-51110D1FB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250" name="Picture 1">
          <a:extLst>
            <a:ext uri="{FF2B5EF4-FFF2-40B4-BE49-F238E27FC236}">
              <a16:creationId xmlns:a16="http://schemas.microsoft.com/office/drawing/2014/main" id="{ECA37995-807E-41F6-B476-9FD153D65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251" name="Picture 1">
          <a:extLst>
            <a:ext uri="{FF2B5EF4-FFF2-40B4-BE49-F238E27FC236}">
              <a16:creationId xmlns:a16="http://schemas.microsoft.com/office/drawing/2014/main" id="{04DE9A7C-E352-453B-B0F4-F5DE21622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252" name="Picture 1">
          <a:extLst>
            <a:ext uri="{FF2B5EF4-FFF2-40B4-BE49-F238E27FC236}">
              <a16:creationId xmlns:a16="http://schemas.microsoft.com/office/drawing/2014/main" id="{321A8856-1701-442A-9477-6C62BC01E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253" name="Picture 1">
          <a:extLst>
            <a:ext uri="{FF2B5EF4-FFF2-40B4-BE49-F238E27FC236}">
              <a16:creationId xmlns:a16="http://schemas.microsoft.com/office/drawing/2014/main" id="{AC2CE0DE-EBF3-4246-BCCF-22A940384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254" name="Picture 1">
          <a:extLst>
            <a:ext uri="{FF2B5EF4-FFF2-40B4-BE49-F238E27FC236}">
              <a16:creationId xmlns:a16="http://schemas.microsoft.com/office/drawing/2014/main" id="{0BC7283A-127B-4E6F-A761-D5C975058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255" name="Picture 1">
          <a:extLst>
            <a:ext uri="{FF2B5EF4-FFF2-40B4-BE49-F238E27FC236}">
              <a16:creationId xmlns:a16="http://schemas.microsoft.com/office/drawing/2014/main" id="{C7F841C6-1293-477B-AC30-6EDDE3D6A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256" name="Picture 1">
          <a:extLst>
            <a:ext uri="{FF2B5EF4-FFF2-40B4-BE49-F238E27FC236}">
              <a16:creationId xmlns:a16="http://schemas.microsoft.com/office/drawing/2014/main" id="{CDDE083B-398F-428E-A973-2C5979822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257" name="Picture 1">
          <a:extLst>
            <a:ext uri="{FF2B5EF4-FFF2-40B4-BE49-F238E27FC236}">
              <a16:creationId xmlns:a16="http://schemas.microsoft.com/office/drawing/2014/main" id="{F56FAFE1-7509-4B12-99FB-9D3802AD9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258" name="Picture 1">
          <a:extLst>
            <a:ext uri="{FF2B5EF4-FFF2-40B4-BE49-F238E27FC236}">
              <a16:creationId xmlns:a16="http://schemas.microsoft.com/office/drawing/2014/main" id="{43B3D691-F1AB-44ED-ABA4-91BB9743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259" name="Picture 1">
          <a:extLst>
            <a:ext uri="{FF2B5EF4-FFF2-40B4-BE49-F238E27FC236}">
              <a16:creationId xmlns:a16="http://schemas.microsoft.com/office/drawing/2014/main" id="{58D7E27C-96DF-4B62-9986-DBEB6B2EB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260" name="Picture 1">
          <a:extLst>
            <a:ext uri="{FF2B5EF4-FFF2-40B4-BE49-F238E27FC236}">
              <a16:creationId xmlns:a16="http://schemas.microsoft.com/office/drawing/2014/main" id="{EF786C2F-4DB7-4656-B45F-90581958C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261" name="Picture 1">
          <a:extLst>
            <a:ext uri="{FF2B5EF4-FFF2-40B4-BE49-F238E27FC236}">
              <a16:creationId xmlns:a16="http://schemas.microsoft.com/office/drawing/2014/main" id="{C36462AD-EAB0-4727-9C51-0233CBB35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262" name="Picture 1">
          <a:extLst>
            <a:ext uri="{FF2B5EF4-FFF2-40B4-BE49-F238E27FC236}">
              <a16:creationId xmlns:a16="http://schemas.microsoft.com/office/drawing/2014/main" id="{D9AFE563-4505-4A6B-8ED5-D9A4951C7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263" name="Picture 1">
          <a:extLst>
            <a:ext uri="{FF2B5EF4-FFF2-40B4-BE49-F238E27FC236}">
              <a16:creationId xmlns:a16="http://schemas.microsoft.com/office/drawing/2014/main" id="{926CDF29-9C02-4D04-9F77-403E94514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264" name="Picture 1">
          <a:extLst>
            <a:ext uri="{FF2B5EF4-FFF2-40B4-BE49-F238E27FC236}">
              <a16:creationId xmlns:a16="http://schemas.microsoft.com/office/drawing/2014/main" id="{A3057339-BE80-468F-AA75-E68FBE45A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265" name="Picture 1">
          <a:extLst>
            <a:ext uri="{FF2B5EF4-FFF2-40B4-BE49-F238E27FC236}">
              <a16:creationId xmlns:a16="http://schemas.microsoft.com/office/drawing/2014/main" id="{CA1DEAAE-7EA3-4676-8DF4-AE736C8AC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266" name="Picture 1">
          <a:extLst>
            <a:ext uri="{FF2B5EF4-FFF2-40B4-BE49-F238E27FC236}">
              <a16:creationId xmlns:a16="http://schemas.microsoft.com/office/drawing/2014/main" id="{41671D2E-86F0-42B9-B0BF-09317435A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267" name="Picture 1">
          <a:extLst>
            <a:ext uri="{FF2B5EF4-FFF2-40B4-BE49-F238E27FC236}">
              <a16:creationId xmlns:a16="http://schemas.microsoft.com/office/drawing/2014/main" id="{2255EF72-FF10-400C-B6E7-492AE7EF1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268" name="Picture 1">
          <a:extLst>
            <a:ext uri="{FF2B5EF4-FFF2-40B4-BE49-F238E27FC236}">
              <a16:creationId xmlns:a16="http://schemas.microsoft.com/office/drawing/2014/main" id="{AFF3ACFF-B69A-4B5B-9A58-861FFE9A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269" name="Picture 1">
          <a:extLst>
            <a:ext uri="{FF2B5EF4-FFF2-40B4-BE49-F238E27FC236}">
              <a16:creationId xmlns:a16="http://schemas.microsoft.com/office/drawing/2014/main" id="{61005E8C-7494-41DD-9025-D538E69F0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270" name="Picture 1">
          <a:extLst>
            <a:ext uri="{FF2B5EF4-FFF2-40B4-BE49-F238E27FC236}">
              <a16:creationId xmlns:a16="http://schemas.microsoft.com/office/drawing/2014/main" id="{AD440050-3C12-477E-B587-686CF06D9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271" name="Picture 1">
          <a:extLst>
            <a:ext uri="{FF2B5EF4-FFF2-40B4-BE49-F238E27FC236}">
              <a16:creationId xmlns:a16="http://schemas.microsoft.com/office/drawing/2014/main" id="{934EDD90-55FA-45FF-A991-755F719BF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272" name="Picture 1">
          <a:extLst>
            <a:ext uri="{FF2B5EF4-FFF2-40B4-BE49-F238E27FC236}">
              <a16:creationId xmlns:a16="http://schemas.microsoft.com/office/drawing/2014/main" id="{190193CF-7424-4F19-BA7E-6C100393E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73" name="Picture 1">
          <a:extLst>
            <a:ext uri="{FF2B5EF4-FFF2-40B4-BE49-F238E27FC236}">
              <a16:creationId xmlns:a16="http://schemas.microsoft.com/office/drawing/2014/main" id="{CA8DFC89-94D7-40B1-829C-AB312C669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74" name="Picture 1">
          <a:extLst>
            <a:ext uri="{FF2B5EF4-FFF2-40B4-BE49-F238E27FC236}">
              <a16:creationId xmlns:a16="http://schemas.microsoft.com/office/drawing/2014/main" id="{B15D08CB-D992-4C12-8F82-123A6B0CA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75" name="Picture 1">
          <a:extLst>
            <a:ext uri="{FF2B5EF4-FFF2-40B4-BE49-F238E27FC236}">
              <a16:creationId xmlns:a16="http://schemas.microsoft.com/office/drawing/2014/main" id="{21D54674-093D-44BE-B677-FD33225CF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76" name="Picture 1">
          <a:extLst>
            <a:ext uri="{FF2B5EF4-FFF2-40B4-BE49-F238E27FC236}">
              <a16:creationId xmlns:a16="http://schemas.microsoft.com/office/drawing/2014/main" id="{C25D1447-E059-4266-A3F4-D4874B6DF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77" name="Picture 1">
          <a:extLst>
            <a:ext uri="{FF2B5EF4-FFF2-40B4-BE49-F238E27FC236}">
              <a16:creationId xmlns:a16="http://schemas.microsoft.com/office/drawing/2014/main" id="{32649189-3837-4ADF-AA7A-64F01869A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78" name="Picture 1">
          <a:extLst>
            <a:ext uri="{FF2B5EF4-FFF2-40B4-BE49-F238E27FC236}">
              <a16:creationId xmlns:a16="http://schemas.microsoft.com/office/drawing/2014/main" id="{9080EDAD-4189-48F2-AEC2-1BEF43799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79" name="Picture 1">
          <a:extLst>
            <a:ext uri="{FF2B5EF4-FFF2-40B4-BE49-F238E27FC236}">
              <a16:creationId xmlns:a16="http://schemas.microsoft.com/office/drawing/2014/main" id="{147E2E42-880D-4315-834D-CD33479BA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80" name="Picture 1">
          <a:extLst>
            <a:ext uri="{FF2B5EF4-FFF2-40B4-BE49-F238E27FC236}">
              <a16:creationId xmlns:a16="http://schemas.microsoft.com/office/drawing/2014/main" id="{E2A361A8-8691-4D1D-9446-E9A4FD50E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81" name="Picture 1">
          <a:extLst>
            <a:ext uri="{FF2B5EF4-FFF2-40B4-BE49-F238E27FC236}">
              <a16:creationId xmlns:a16="http://schemas.microsoft.com/office/drawing/2014/main" id="{E4AC5BA1-DC93-4983-B3B1-DA561CD19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82" name="Picture 1">
          <a:extLst>
            <a:ext uri="{FF2B5EF4-FFF2-40B4-BE49-F238E27FC236}">
              <a16:creationId xmlns:a16="http://schemas.microsoft.com/office/drawing/2014/main" id="{9D9508CA-78FC-49C1-B316-2FF3F5901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283" name="Picture 1">
          <a:extLst>
            <a:ext uri="{FF2B5EF4-FFF2-40B4-BE49-F238E27FC236}">
              <a16:creationId xmlns:a16="http://schemas.microsoft.com/office/drawing/2014/main" id="{6B81D0C1-034B-4330-B64A-CF701F63B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84" name="Picture 1">
          <a:extLst>
            <a:ext uri="{FF2B5EF4-FFF2-40B4-BE49-F238E27FC236}">
              <a16:creationId xmlns:a16="http://schemas.microsoft.com/office/drawing/2014/main" id="{7D9A7726-942C-4652-9600-E0AA1A0DF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85" name="Picture 1">
          <a:extLst>
            <a:ext uri="{FF2B5EF4-FFF2-40B4-BE49-F238E27FC236}">
              <a16:creationId xmlns:a16="http://schemas.microsoft.com/office/drawing/2014/main" id="{1CAA0FA1-7681-4FBC-8C0B-8DF82B0A0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86" name="Picture 1">
          <a:extLst>
            <a:ext uri="{FF2B5EF4-FFF2-40B4-BE49-F238E27FC236}">
              <a16:creationId xmlns:a16="http://schemas.microsoft.com/office/drawing/2014/main" id="{34F6F845-5C7E-43A1-929F-0E09B56D2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87" name="Picture 1">
          <a:extLst>
            <a:ext uri="{FF2B5EF4-FFF2-40B4-BE49-F238E27FC236}">
              <a16:creationId xmlns:a16="http://schemas.microsoft.com/office/drawing/2014/main" id="{2B7DF7B3-7832-4FBE-805A-043505836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88" name="Picture 1">
          <a:extLst>
            <a:ext uri="{FF2B5EF4-FFF2-40B4-BE49-F238E27FC236}">
              <a16:creationId xmlns:a16="http://schemas.microsoft.com/office/drawing/2014/main" id="{B0225D93-301C-4CC7-8DCD-AFD3E5BEB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89" name="Picture 1">
          <a:extLst>
            <a:ext uri="{FF2B5EF4-FFF2-40B4-BE49-F238E27FC236}">
              <a16:creationId xmlns:a16="http://schemas.microsoft.com/office/drawing/2014/main" id="{18538BCB-AD77-4978-8CDC-1742667EB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90" name="Picture 1">
          <a:extLst>
            <a:ext uri="{FF2B5EF4-FFF2-40B4-BE49-F238E27FC236}">
              <a16:creationId xmlns:a16="http://schemas.microsoft.com/office/drawing/2014/main" id="{49381ED7-CF9C-4E56-9545-19BBB3B64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91" name="Picture 1">
          <a:extLst>
            <a:ext uri="{FF2B5EF4-FFF2-40B4-BE49-F238E27FC236}">
              <a16:creationId xmlns:a16="http://schemas.microsoft.com/office/drawing/2014/main" id="{DD984829-7F36-4C2A-81D9-6F819231C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92" name="Picture 1">
          <a:extLst>
            <a:ext uri="{FF2B5EF4-FFF2-40B4-BE49-F238E27FC236}">
              <a16:creationId xmlns:a16="http://schemas.microsoft.com/office/drawing/2014/main" id="{AF424D77-5B3E-4AA3-841B-8603D690C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93" name="Picture 1">
          <a:extLst>
            <a:ext uri="{FF2B5EF4-FFF2-40B4-BE49-F238E27FC236}">
              <a16:creationId xmlns:a16="http://schemas.microsoft.com/office/drawing/2014/main" id="{C64119C0-CA7B-4233-80F8-426D721FE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294" name="Picture 1">
          <a:extLst>
            <a:ext uri="{FF2B5EF4-FFF2-40B4-BE49-F238E27FC236}">
              <a16:creationId xmlns:a16="http://schemas.microsoft.com/office/drawing/2014/main" id="{79264054-DEC7-4D9B-90CC-4292893DC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295" name="Picture 1">
          <a:extLst>
            <a:ext uri="{FF2B5EF4-FFF2-40B4-BE49-F238E27FC236}">
              <a16:creationId xmlns:a16="http://schemas.microsoft.com/office/drawing/2014/main" id="{47E0E035-5B94-48B3-97C0-9C1FC0EA8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296" name="Picture 1">
          <a:extLst>
            <a:ext uri="{FF2B5EF4-FFF2-40B4-BE49-F238E27FC236}">
              <a16:creationId xmlns:a16="http://schemas.microsoft.com/office/drawing/2014/main" id="{96D9CF4D-825A-4EAC-B03D-F6E5D49DB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297" name="Picture 1">
          <a:extLst>
            <a:ext uri="{FF2B5EF4-FFF2-40B4-BE49-F238E27FC236}">
              <a16:creationId xmlns:a16="http://schemas.microsoft.com/office/drawing/2014/main" id="{230CD23F-EAF1-4D3B-B02C-A9BCC633B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298" name="Picture 1">
          <a:extLst>
            <a:ext uri="{FF2B5EF4-FFF2-40B4-BE49-F238E27FC236}">
              <a16:creationId xmlns:a16="http://schemas.microsoft.com/office/drawing/2014/main" id="{3C422BEF-3D15-47B9-B3E7-8803BA39B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299" name="Picture 1">
          <a:extLst>
            <a:ext uri="{FF2B5EF4-FFF2-40B4-BE49-F238E27FC236}">
              <a16:creationId xmlns:a16="http://schemas.microsoft.com/office/drawing/2014/main" id="{D8E260A6-11C8-437E-A062-55E478EC2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300" name="Picture 1">
          <a:extLst>
            <a:ext uri="{FF2B5EF4-FFF2-40B4-BE49-F238E27FC236}">
              <a16:creationId xmlns:a16="http://schemas.microsoft.com/office/drawing/2014/main" id="{C3783B36-CC05-44B1-8447-2F5019610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301" name="Picture 1">
          <a:extLst>
            <a:ext uri="{FF2B5EF4-FFF2-40B4-BE49-F238E27FC236}">
              <a16:creationId xmlns:a16="http://schemas.microsoft.com/office/drawing/2014/main" id="{1E6F478D-8830-405C-A469-603BCFE11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302" name="Picture 1">
          <a:extLst>
            <a:ext uri="{FF2B5EF4-FFF2-40B4-BE49-F238E27FC236}">
              <a16:creationId xmlns:a16="http://schemas.microsoft.com/office/drawing/2014/main" id="{9C8275A2-F131-484A-9585-4EF254BD9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303" name="Picture 1">
          <a:extLst>
            <a:ext uri="{FF2B5EF4-FFF2-40B4-BE49-F238E27FC236}">
              <a16:creationId xmlns:a16="http://schemas.microsoft.com/office/drawing/2014/main" id="{38922733-311D-4981-9F00-9658FE60D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304" name="Picture 1">
          <a:extLst>
            <a:ext uri="{FF2B5EF4-FFF2-40B4-BE49-F238E27FC236}">
              <a16:creationId xmlns:a16="http://schemas.microsoft.com/office/drawing/2014/main" id="{FDC76B3F-E39A-46E6-BAF8-BBC894F05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305" name="Picture 1">
          <a:extLst>
            <a:ext uri="{FF2B5EF4-FFF2-40B4-BE49-F238E27FC236}">
              <a16:creationId xmlns:a16="http://schemas.microsoft.com/office/drawing/2014/main" id="{4A4ADA96-405C-4C67-9127-28BB4E88F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306" name="Picture 1">
          <a:extLst>
            <a:ext uri="{FF2B5EF4-FFF2-40B4-BE49-F238E27FC236}">
              <a16:creationId xmlns:a16="http://schemas.microsoft.com/office/drawing/2014/main" id="{2AAA40D4-099B-4F72-847B-6A1778A20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307" name="Picture 1">
          <a:extLst>
            <a:ext uri="{FF2B5EF4-FFF2-40B4-BE49-F238E27FC236}">
              <a16:creationId xmlns:a16="http://schemas.microsoft.com/office/drawing/2014/main" id="{D4009F5C-4660-4F1F-BC57-643AA8699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308" name="Picture 1">
          <a:extLst>
            <a:ext uri="{FF2B5EF4-FFF2-40B4-BE49-F238E27FC236}">
              <a16:creationId xmlns:a16="http://schemas.microsoft.com/office/drawing/2014/main" id="{642B2003-BFEF-478C-A00C-40304C499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309" name="Picture 1">
          <a:extLst>
            <a:ext uri="{FF2B5EF4-FFF2-40B4-BE49-F238E27FC236}">
              <a16:creationId xmlns:a16="http://schemas.microsoft.com/office/drawing/2014/main" id="{7BD29071-7BAD-4F89-8099-F3A126D9E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310" name="Picture 1">
          <a:extLst>
            <a:ext uri="{FF2B5EF4-FFF2-40B4-BE49-F238E27FC236}">
              <a16:creationId xmlns:a16="http://schemas.microsoft.com/office/drawing/2014/main" id="{2A76529D-5F9B-481E-85A6-54684A57E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311" name="Picture 1">
          <a:extLst>
            <a:ext uri="{FF2B5EF4-FFF2-40B4-BE49-F238E27FC236}">
              <a16:creationId xmlns:a16="http://schemas.microsoft.com/office/drawing/2014/main" id="{E816E389-7EFC-488D-841B-8D0990667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312" name="Picture 1">
          <a:extLst>
            <a:ext uri="{FF2B5EF4-FFF2-40B4-BE49-F238E27FC236}">
              <a16:creationId xmlns:a16="http://schemas.microsoft.com/office/drawing/2014/main" id="{E8E5C767-8409-49FE-A82B-36C6AB444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313" name="Picture 1">
          <a:extLst>
            <a:ext uri="{FF2B5EF4-FFF2-40B4-BE49-F238E27FC236}">
              <a16:creationId xmlns:a16="http://schemas.microsoft.com/office/drawing/2014/main" id="{E07A8EAD-E8C5-4213-A39E-50D197710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314" name="Picture 1">
          <a:extLst>
            <a:ext uri="{FF2B5EF4-FFF2-40B4-BE49-F238E27FC236}">
              <a16:creationId xmlns:a16="http://schemas.microsoft.com/office/drawing/2014/main" id="{AF0F2422-06E9-4A54-8530-4F7424F03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315" name="Picture 1">
          <a:extLst>
            <a:ext uri="{FF2B5EF4-FFF2-40B4-BE49-F238E27FC236}">
              <a16:creationId xmlns:a16="http://schemas.microsoft.com/office/drawing/2014/main" id="{BCD11092-1685-4D22-A162-2FB052DC6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316" name="Picture 1">
          <a:extLst>
            <a:ext uri="{FF2B5EF4-FFF2-40B4-BE49-F238E27FC236}">
              <a16:creationId xmlns:a16="http://schemas.microsoft.com/office/drawing/2014/main" id="{4274856C-1DB8-48D4-8CB8-BDB6F1DB9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317" name="Picture 1">
          <a:extLst>
            <a:ext uri="{FF2B5EF4-FFF2-40B4-BE49-F238E27FC236}">
              <a16:creationId xmlns:a16="http://schemas.microsoft.com/office/drawing/2014/main" id="{5099E4EA-B7E7-4D1F-B3CB-6B917CA75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318" name="Picture 1">
          <a:extLst>
            <a:ext uri="{FF2B5EF4-FFF2-40B4-BE49-F238E27FC236}">
              <a16:creationId xmlns:a16="http://schemas.microsoft.com/office/drawing/2014/main" id="{DF5A7EA0-A812-4D00-A473-54A38E231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319" name="Picture 1">
          <a:extLst>
            <a:ext uri="{FF2B5EF4-FFF2-40B4-BE49-F238E27FC236}">
              <a16:creationId xmlns:a16="http://schemas.microsoft.com/office/drawing/2014/main" id="{3DAD42AD-E240-4DBB-9F34-FFAAB9F37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320" name="Picture 1">
          <a:extLst>
            <a:ext uri="{FF2B5EF4-FFF2-40B4-BE49-F238E27FC236}">
              <a16:creationId xmlns:a16="http://schemas.microsoft.com/office/drawing/2014/main" id="{1CB28B5E-FA36-453B-841E-268B98B0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321" name="Picture 1">
          <a:extLst>
            <a:ext uri="{FF2B5EF4-FFF2-40B4-BE49-F238E27FC236}">
              <a16:creationId xmlns:a16="http://schemas.microsoft.com/office/drawing/2014/main" id="{3754DC74-DB9E-4F3D-9A73-590F12019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322" name="Picture 1">
          <a:extLst>
            <a:ext uri="{FF2B5EF4-FFF2-40B4-BE49-F238E27FC236}">
              <a16:creationId xmlns:a16="http://schemas.microsoft.com/office/drawing/2014/main" id="{34C3976E-7C2E-4F15-BAC7-095CCB748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323" name="Picture 1">
          <a:extLst>
            <a:ext uri="{FF2B5EF4-FFF2-40B4-BE49-F238E27FC236}">
              <a16:creationId xmlns:a16="http://schemas.microsoft.com/office/drawing/2014/main" id="{DE3C4B16-6D60-477D-98BC-053F046E9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324" name="Picture 1">
          <a:extLst>
            <a:ext uri="{FF2B5EF4-FFF2-40B4-BE49-F238E27FC236}">
              <a16:creationId xmlns:a16="http://schemas.microsoft.com/office/drawing/2014/main" id="{F3318257-6A0A-4025-8B82-BAB3AB600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325" name="Picture 1">
          <a:extLst>
            <a:ext uri="{FF2B5EF4-FFF2-40B4-BE49-F238E27FC236}">
              <a16:creationId xmlns:a16="http://schemas.microsoft.com/office/drawing/2014/main" id="{1CFC5A7B-5A7B-479D-9A65-53F8C7848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26" name="Picture 1">
          <a:extLst>
            <a:ext uri="{FF2B5EF4-FFF2-40B4-BE49-F238E27FC236}">
              <a16:creationId xmlns:a16="http://schemas.microsoft.com/office/drawing/2014/main" id="{1CD2143D-F5EE-4030-BA67-CDCBB8535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27" name="Picture 1">
          <a:extLst>
            <a:ext uri="{FF2B5EF4-FFF2-40B4-BE49-F238E27FC236}">
              <a16:creationId xmlns:a16="http://schemas.microsoft.com/office/drawing/2014/main" id="{FEDDEDA1-B9E1-4C7A-88AB-97C81BCC3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28" name="Picture 1">
          <a:extLst>
            <a:ext uri="{FF2B5EF4-FFF2-40B4-BE49-F238E27FC236}">
              <a16:creationId xmlns:a16="http://schemas.microsoft.com/office/drawing/2014/main" id="{993E4E62-6A34-4E6E-998D-3A75C3252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29" name="Picture 1">
          <a:extLst>
            <a:ext uri="{FF2B5EF4-FFF2-40B4-BE49-F238E27FC236}">
              <a16:creationId xmlns:a16="http://schemas.microsoft.com/office/drawing/2014/main" id="{000C524C-FF6C-45AF-B3E7-CC6DB415B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30" name="Picture 1">
          <a:extLst>
            <a:ext uri="{FF2B5EF4-FFF2-40B4-BE49-F238E27FC236}">
              <a16:creationId xmlns:a16="http://schemas.microsoft.com/office/drawing/2014/main" id="{4AADF321-2FA6-4CB9-89B2-FB38B6B5C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31" name="Picture 1">
          <a:extLst>
            <a:ext uri="{FF2B5EF4-FFF2-40B4-BE49-F238E27FC236}">
              <a16:creationId xmlns:a16="http://schemas.microsoft.com/office/drawing/2014/main" id="{40493D74-92B0-4A97-9301-5E417DC2C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32" name="Picture 1">
          <a:extLst>
            <a:ext uri="{FF2B5EF4-FFF2-40B4-BE49-F238E27FC236}">
              <a16:creationId xmlns:a16="http://schemas.microsoft.com/office/drawing/2014/main" id="{26BC42E5-ABE5-4FC5-BA7E-51870441E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33" name="Picture 1">
          <a:extLst>
            <a:ext uri="{FF2B5EF4-FFF2-40B4-BE49-F238E27FC236}">
              <a16:creationId xmlns:a16="http://schemas.microsoft.com/office/drawing/2014/main" id="{B6580DB5-E66C-4892-98AA-9E2D91A79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34" name="Picture 1">
          <a:extLst>
            <a:ext uri="{FF2B5EF4-FFF2-40B4-BE49-F238E27FC236}">
              <a16:creationId xmlns:a16="http://schemas.microsoft.com/office/drawing/2014/main" id="{36B2B780-240D-4E7D-8449-64317A06C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35" name="Picture 1">
          <a:extLst>
            <a:ext uri="{FF2B5EF4-FFF2-40B4-BE49-F238E27FC236}">
              <a16:creationId xmlns:a16="http://schemas.microsoft.com/office/drawing/2014/main" id="{EFCB0906-621B-459C-A670-0277E5F17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336" name="Picture 1">
          <a:extLst>
            <a:ext uri="{FF2B5EF4-FFF2-40B4-BE49-F238E27FC236}">
              <a16:creationId xmlns:a16="http://schemas.microsoft.com/office/drawing/2014/main" id="{ABAA1CBC-ECEB-45FB-8721-EF1597237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864719</xdr:colOff>
      <xdr:row>109</xdr:row>
      <xdr:rowOff>144360</xdr:rowOff>
    </xdr:from>
    <xdr:ext cx="1294920" cy="57240"/>
    <xdr:pic>
      <xdr:nvPicPr>
        <xdr:cNvPr id="337" name="Picture 1">
          <a:extLst>
            <a:ext uri="{FF2B5EF4-FFF2-40B4-BE49-F238E27FC236}">
              <a16:creationId xmlns:a16="http://schemas.microsoft.com/office/drawing/2014/main" id="{63D34FF7-DD94-4A5F-ABA5-A20D8BF5B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0095694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864719</xdr:colOff>
      <xdr:row>110</xdr:row>
      <xdr:rowOff>144360</xdr:rowOff>
    </xdr:from>
    <xdr:ext cx="1294920" cy="57240"/>
    <xdr:pic>
      <xdr:nvPicPr>
        <xdr:cNvPr id="338" name="Picture 1">
          <a:extLst>
            <a:ext uri="{FF2B5EF4-FFF2-40B4-BE49-F238E27FC236}">
              <a16:creationId xmlns:a16="http://schemas.microsoft.com/office/drawing/2014/main" id="{52D389BD-B46E-46C9-A550-7C15B8871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0095694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864719</xdr:colOff>
      <xdr:row>111</xdr:row>
      <xdr:rowOff>144000</xdr:rowOff>
    </xdr:from>
    <xdr:ext cx="1294920" cy="57960"/>
    <xdr:pic>
      <xdr:nvPicPr>
        <xdr:cNvPr id="339" name="Picture 1">
          <a:extLst>
            <a:ext uri="{FF2B5EF4-FFF2-40B4-BE49-F238E27FC236}">
              <a16:creationId xmlns:a16="http://schemas.microsoft.com/office/drawing/2014/main" id="{DFA63C9C-E2D0-426D-8FCC-F62F22A5B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0095694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864719</xdr:colOff>
      <xdr:row>112</xdr:row>
      <xdr:rowOff>144360</xdr:rowOff>
    </xdr:from>
    <xdr:ext cx="1294920" cy="57240"/>
    <xdr:pic>
      <xdr:nvPicPr>
        <xdr:cNvPr id="340" name="Picture 1">
          <a:extLst>
            <a:ext uri="{FF2B5EF4-FFF2-40B4-BE49-F238E27FC236}">
              <a16:creationId xmlns:a16="http://schemas.microsoft.com/office/drawing/2014/main" id="{50CB13F0-075D-4329-9D32-966A590FA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0095694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41" name="Picture 1">
          <a:extLst>
            <a:ext uri="{FF2B5EF4-FFF2-40B4-BE49-F238E27FC236}">
              <a16:creationId xmlns:a16="http://schemas.microsoft.com/office/drawing/2014/main" id="{8FBFC829-7F0D-42B7-BABF-270C2C860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42" name="Picture 1">
          <a:extLst>
            <a:ext uri="{FF2B5EF4-FFF2-40B4-BE49-F238E27FC236}">
              <a16:creationId xmlns:a16="http://schemas.microsoft.com/office/drawing/2014/main" id="{D8BFAF35-C630-40C0-A224-1E18ADB62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43" name="Picture 1">
          <a:extLst>
            <a:ext uri="{FF2B5EF4-FFF2-40B4-BE49-F238E27FC236}">
              <a16:creationId xmlns:a16="http://schemas.microsoft.com/office/drawing/2014/main" id="{D47450CF-1B72-4722-AE9E-80222A6E0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44" name="Picture 1">
          <a:extLst>
            <a:ext uri="{FF2B5EF4-FFF2-40B4-BE49-F238E27FC236}">
              <a16:creationId xmlns:a16="http://schemas.microsoft.com/office/drawing/2014/main" id="{649DFA9F-E99B-471A-BE83-3B5DE0581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45" name="Picture 1">
          <a:extLst>
            <a:ext uri="{FF2B5EF4-FFF2-40B4-BE49-F238E27FC236}">
              <a16:creationId xmlns:a16="http://schemas.microsoft.com/office/drawing/2014/main" id="{6A792E55-2D3E-402A-A379-050C6D776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46" name="Picture 1">
          <a:extLst>
            <a:ext uri="{FF2B5EF4-FFF2-40B4-BE49-F238E27FC236}">
              <a16:creationId xmlns:a16="http://schemas.microsoft.com/office/drawing/2014/main" id="{79331C78-625D-4A75-8A3F-33F89F1F4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47" name="Picture 1">
          <a:extLst>
            <a:ext uri="{FF2B5EF4-FFF2-40B4-BE49-F238E27FC236}">
              <a16:creationId xmlns:a16="http://schemas.microsoft.com/office/drawing/2014/main" id="{051557FB-58C6-498D-88AE-4505529F1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48" name="Picture 1">
          <a:extLst>
            <a:ext uri="{FF2B5EF4-FFF2-40B4-BE49-F238E27FC236}">
              <a16:creationId xmlns:a16="http://schemas.microsoft.com/office/drawing/2014/main" id="{B5E71B81-95EE-494A-8820-E7F8A4B43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49" name="Picture 1">
          <a:extLst>
            <a:ext uri="{FF2B5EF4-FFF2-40B4-BE49-F238E27FC236}">
              <a16:creationId xmlns:a16="http://schemas.microsoft.com/office/drawing/2014/main" id="{AA0ED8E2-1F16-4979-A214-AA07C53D0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50" name="Picture 1">
          <a:extLst>
            <a:ext uri="{FF2B5EF4-FFF2-40B4-BE49-F238E27FC236}">
              <a16:creationId xmlns:a16="http://schemas.microsoft.com/office/drawing/2014/main" id="{F8D960D7-8368-4E20-9353-4725EC63A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51" name="Picture 1">
          <a:extLst>
            <a:ext uri="{FF2B5EF4-FFF2-40B4-BE49-F238E27FC236}">
              <a16:creationId xmlns:a16="http://schemas.microsoft.com/office/drawing/2014/main" id="{2ABBDB28-9DE6-42F2-A2A1-E6DD5ACA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52" name="Picture 1">
          <a:extLst>
            <a:ext uri="{FF2B5EF4-FFF2-40B4-BE49-F238E27FC236}">
              <a16:creationId xmlns:a16="http://schemas.microsoft.com/office/drawing/2014/main" id="{7D74E57A-7A07-4665-A33C-FD1C7637A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53" name="Picture 1">
          <a:extLst>
            <a:ext uri="{FF2B5EF4-FFF2-40B4-BE49-F238E27FC236}">
              <a16:creationId xmlns:a16="http://schemas.microsoft.com/office/drawing/2014/main" id="{E79CB2D3-448B-4CBA-90AD-57BADCF8C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54" name="Picture 1">
          <a:extLst>
            <a:ext uri="{FF2B5EF4-FFF2-40B4-BE49-F238E27FC236}">
              <a16:creationId xmlns:a16="http://schemas.microsoft.com/office/drawing/2014/main" id="{7F27B6F2-B0C6-4808-A172-D6AF62F36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55" name="Picture 1">
          <a:extLst>
            <a:ext uri="{FF2B5EF4-FFF2-40B4-BE49-F238E27FC236}">
              <a16:creationId xmlns:a16="http://schemas.microsoft.com/office/drawing/2014/main" id="{7E201F58-D056-4CD7-8446-B13F1D467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56" name="Picture 1">
          <a:extLst>
            <a:ext uri="{FF2B5EF4-FFF2-40B4-BE49-F238E27FC236}">
              <a16:creationId xmlns:a16="http://schemas.microsoft.com/office/drawing/2014/main" id="{9F2922B2-3B73-4FFC-9B9B-36DFA614E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357" name="Picture 1">
          <a:extLst>
            <a:ext uri="{FF2B5EF4-FFF2-40B4-BE49-F238E27FC236}">
              <a16:creationId xmlns:a16="http://schemas.microsoft.com/office/drawing/2014/main" id="{4153D481-F0F8-4876-AA06-4E1874C41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58" name="Picture 1">
          <a:extLst>
            <a:ext uri="{FF2B5EF4-FFF2-40B4-BE49-F238E27FC236}">
              <a16:creationId xmlns:a16="http://schemas.microsoft.com/office/drawing/2014/main" id="{D423C47B-15B9-4F5F-8639-A3C61F5F7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59" name="Picture 1">
          <a:extLst>
            <a:ext uri="{FF2B5EF4-FFF2-40B4-BE49-F238E27FC236}">
              <a16:creationId xmlns:a16="http://schemas.microsoft.com/office/drawing/2014/main" id="{2D9DBBF3-77BB-433D-8D36-240156866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60" name="Picture 1">
          <a:extLst>
            <a:ext uri="{FF2B5EF4-FFF2-40B4-BE49-F238E27FC236}">
              <a16:creationId xmlns:a16="http://schemas.microsoft.com/office/drawing/2014/main" id="{6A6B431F-E7F7-468C-A3C9-151658349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61" name="Picture 1">
          <a:extLst>
            <a:ext uri="{FF2B5EF4-FFF2-40B4-BE49-F238E27FC236}">
              <a16:creationId xmlns:a16="http://schemas.microsoft.com/office/drawing/2014/main" id="{BCE8A1A1-77AF-4E69-9B18-11FD39013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62" name="Picture 1">
          <a:extLst>
            <a:ext uri="{FF2B5EF4-FFF2-40B4-BE49-F238E27FC236}">
              <a16:creationId xmlns:a16="http://schemas.microsoft.com/office/drawing/2014/main" id="{F61266C8-465C-45E4-81A1-D88EE5F88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63" name="Picture 1">
          <a:extLst>
            <a:ext uri="{FF2B5EF4-FFF2-40B4-BE49-F238E27FC236}">
              <a16:creationId xmlns:a16="http://schemas.microsoft.com/office/drawing/2014/main" id="{9F51E92D-BCD0-4EA0-9C9E-E6B0AFB37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64" name="Picture 1">
          <a:extLst>
            <a:ext uri="{FF2B5EF4-FFF2-40B4-BE49-F238E27FC236}">
              <a16:creationId xmlns:a16="http://schemas.microsoft.com/office/drawing/2014/main" id="{57E2BB08-4DD7-4E55-8BA6-EDC9A03B8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65" name="Picture 1">
          <a:extLst>
            <a:ext uri="{FF2B5EF4-FFF2-40B4-BE49-F238E27FC236}">
              <a16:creationId xmlns:a16="http://schemas.microsoft.com/office/drawing/2014/main" id="{664AB6C4-E799-4C68-BEC3-99C87ED66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66" name="Picture 1">
          <a:extLst>
            <a:ext uri="{FF2B5EF4-FFF2-40B4-BE49-F238E27FC236}">
              <a16:creationId xmlns:a16="http://schemas.microsoft.com/office/drawing/2014/main" id="{D468A70E-758A-4A8D-82CE-A2A79CF24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67" name="Picture 1">
          <a:extLst>
            <a:ext uri="{FF2B5EF4-FFF2-40B4-BE49-F238E27FC236}">
              <a16:creationId xmlns:a16="http://schemas.microsoft.com/office/drawing/2014/main" id="{C4703794-A594-42D2-9424-7E12B681D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68" name="Picture 1">
          <a:extLst>
            <a:ext uri="{FF2B5EF4-FFF2-40B4-BE49-F238E27FC236}">
              <a16:creationId xmlns:a16="http://schemas.microsoft.com/office/drawing/2014/main" id="{0BA6F76D-E6A5-4483-988F-739E4C9F1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69" name="Picture 1">
          <a:extLst>
            <a:ext uri="{FF2B5EF4-FFF2-40B4-BE49-F238E27FC236}">
              <a16:creationId xmlns:a16="http://schemas.microsoft.com/office/drawing/2014/main" id="{401358DA-41E8-46F4-9333-2EFE46714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70" name="Picture 1">
          <a:extLst>
            <a:ext uri="{FF2B5EF4-FFF2-40B4-BE49-F238E27FC236}">
              <a16:creationId xmlns:a16="http://schemas.microsoft.com/office/drawing/2014/main" id="{06DF5045-C161-49C2-9E2E-27AA603A7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71" name="Picture 1">
          <a:extLst>
            <a:ext uri="{FF2B5EF4-FFF2-40B4-BE49-F238E27FC236}">
              <a16:creationId xmlns:a16="http://schemas.microsoft.com/office/drawing/2014/main" id="{2837AB8C-E578-4D36-83FD-150C98B4B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72" name="Picture 1">
          <a:extLst>
            <a:ext uri="{FF2B5EF4-FFF2-40B4-BE49-F238E27FC236}">
              <a16:creationId xmlns:a16="http://schemas.microsoft.com/office/drawing/2014/main" id="{1D28ABF8-95F9-438E-8B85-ED66E5000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73" name="Picture 1">
          <a:extLst>
            <a:ext uri="{FF2B5EF4-FFF2-40B4-BE49-F238E27FC236}">
              <a16:creationId xmlns:a16="http://schemas.microsoft.com/office/drawing/2014/main" id="{04E21765-B102-4D2A-82DD-0F94A2737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374" name="Picture 1">
          <a:extLst>
            <a:ext uri="{FF2B5EF4-FFF2-40B4-BE49-F238E27FC236}">
              <a16:creationId xmlns:a16="http://schemas.microsoft.com/office/drawing/2014/main" id="{24E953B4-EDEB-4943-9507-89411B524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75" name="Picture 1">
          <a:extLst>
            <a:ext uri="{FF2B5EF4-FFF2-40B4-BE49-F238E27FC236}">
              <a16:creationId xmlns:a16="http://schemas.microsoft.com/office/drawing/2014/main" id="{3DD0D7D5-8E54-4CC0-B70B-3B730CAF8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76" name="Picture 1">
          <a:extLst>
            <a:ext uri="{FF2B5EF4-FFF2-40B4-BE49-F238E27FC236}">
              <a16:creationId xmlns:a16="http://schemas.microsoft.com/office/drawing/2014/main" id="{D32F47F4-8773-46F1-9210-A1A360E49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77" name="Picture 1">
          <a:extLst>
            <a:ext uri="{FF2B5EF4-FFF2-40B4-BE49-F238E27FC236}">
              <a16:creationId xmlns:a16="http://schemas.microsoft.com/office/drawing/2014/main" id="{C8B43EB9-7E28-4255-B755-65E6CB679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78" name="Picture 1">
          <a:extLst>
            <a:ext uri="{FF2B5EF4-FFF2-40B4-BE49-F238E27FC236}">
              <a16:creationId xmlns:a16="http://schemas.microsoft.com/office/drawing/2014/main" id="{02F73513-193F-4B75-95EC-1C3B95A52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79" name="Picture 1">
          <a:extLst>
            <a:ext uri="{FF2B5EF4-FFF2-40B4-BE49-F238E27FC236}">
              <a16:creationId xmlns:a16="http://schemas.microsoft.com/office/drawing/2014/main" id="{EBFBB8C5-FE85-41BF-B34B-7475A1CE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80" name="Picture 1">
          <a:extLst>
            <a:ext uri="{FF2B5EF4-FFF2-40B4-BE49-F238E27FC236}">
              <a16:creationId xmlns:a16="http://schemas.microsoft.com/office/drawing/2014/main" id="{5BF93DEF-DEF2-49A7-B924-B2E222B88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81" name="Picture 1">
          <a:extLst>
            <a:ext uri="{FF2B5EF4-FFF2-40B4-BE49-F238E27FC236}">
              <a16:creationId xmlns:a16="http://schemas.microsoft.com/office/drawing/2014/main" id="{21BB94A6-BCA2-4809-8EE8-080EDB3D4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82" name="Picture 1">
          <a:extLst>
            <a:ext uri="{FF2B5EF4-FFF2-40B4-BE49-F238E27FC236}">
              <a16:creationId xmlns:a16="http://schemas.microsoft.com/office/drawing/2014/main" id="{93915938-64E5-498D-B870-C408EE8D2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83" name="Picture 1">
          <a:extLst>
            <a:ext uri="{FF2B5EF4-FFF2-40B4-BE49-F238E27FC236}">
              <a16:creationId xmlns:a16="http://schemas.microsoft.com/office/drawing/2014/main" id="{689321C4-E562-4E45-8963-8FA12D5A5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84" name="Picture 1">
          <a:extLst>
            <a:ext uri="{FF2B5EF4-FFF2-40B4-BE49-F238E27FC236}">
              <a16:creationId xmlns:a16="http://schemas.microsoft.com/office/drawing/2014/main" id="{5CF807EB-3167-48A0-8388-8100B8E9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85" name="Picture 1">
          <a:extLst>
            <a:ext uri="{FF2B5EF4-FFF2-40B4-BE49-F238E27FC236}">
              <a16:creationId xmlns:a16="http://schemas.microsoft.com/office/drawing/2014/main" id="{06C49F3F-BD64-4DE5-875D-2E85A9A5E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86" name="Picture 1">
          <a:extLst>
            <a:ext uri="{FF2B5EF4-FFF2-40B4-BE49-F238E27FC236}">
              <a16:creationId xmlns:a16="http://schemas.microsoft.com/office/drawing/2014/main" id="{E1735168-F098-432B-98B6-EA0C35330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87" name="Picture 1">
          <a:extLst>
            <a:ext uri="{FF2B5EF4-FFF2-40B4-BE49-F238E27FC236}">
              <a16:creationId xmlns:a16="http://schemas.microsoft.com/office/drawing/2014/main" id="{22BC38DE-2381-444C-8203-42250F844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88" name="Picture 1">
          <a:extLst>
            <a:ext uri="{FF2B5EF4-FFF2-40B4-BE49-F238E27FC236}">
              <a16:creationId xmlns:a16="http://schemas.microsoft.com/office/drawing/2014/main" id="{E8C47353-A141-47F5-9341-D76011D20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89" name="Picture 1">
          <a:extLst>
            <a:ext uri="{FF2B5EF4-FFF2-40B4-BE49-F238E27FC236}">
              <a16:creationId xmlns:a16="http://schemas.microsoft.com/office/drawing/2014/main" id="{D3A91C08-3762-4D95-80B3-5F1725B17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90" name="Picture 1">
          <a:extLst>
            <a:ext uri="{FF2B5EF4-FFF2-40B4-BE49-F238E27FC236}">
              <a16:creationId xmlns:a16="http://schemas.microsoft.com/office/drawing/2014/main" id="{9FB6ACDA-3B5A-4D08-928E-3646CCE3E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391" name="Picture 1">
          <a:extLst>
            <a:ext uri="{FF2B5EF4-FFF2-40B4-BE49-F238E27FC236}">
              <a16:creationId xmlns:a16="http://schemas.microsoft.com/office/drawing/2014/main" id="{946A3A0B-2005-457F-A819-A2D53267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392" name="Picture 1">
          <a:extLst>
            <a:ext uri="{FF2B5EF4-FFF2-40B4-BE49-F238E27FC236}">
              <a16:creationId xmlns:a16="http://schemas.microsoft.com/office/drawing/2014/main" id="{94A65AFD-2186-4CCE-A3A6-B740AD62C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393" name="Picture 1">
          <a:extLst>
            <a:ext uri="{FF2B5EF4-FFF2-40B4-BE49-F238E27FC236}">
              <a16:creationId xmlns:a16="http://schemas.microsoft.com/office/drawing/2014/main" id="{4FE2BD4F-7B67-40CD-AFE0-615BD39B2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394" name="Picture 1">
          <a:extLst>
            <a:ext uri="{FF2B5EF4-FFF2-40B4-BE49-F238E27FC236}">
              <a16:creationId xmlns:a16="http://schemas.microsoft.com/office/drawing/2014/main" id="{D59DA259-772D-4B5D-878F-268188143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395" name="Picture 1">
          <a:extLst>
            <a:ext uri="{FF2B5EF4-FFF2-40B4-BE49-F238E27FC236}">
              <a16:creationId xmlns:a16="http://schemas.microsoft.com/office/drawing/2014/main" id="{675413CD-A135-443B-8C9B-5B9ED931D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396" name="Picture 1">
          <a:extLst>
            <a:ext uri="{FF2B5EF4-FFF2-40B4-BE49-F238E27FC236}">
              <a16:creationId xmlns:a16="http://schemas.microsoft.com/office/drawing/2014/main" id="{28306558-F965-41A3-9F55-02647E21D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397" name="Picture 1">
          <a:extLst>
            <a:ext uri="{FF2B5EF4-FFF2-40B4-BE49-F238E27FC236}">
              <a16:creationId xmlns:a16="http://schemas.microsoft.com/office/drawing/2014/main" id="{8E123B43-028D-409A-B348-9C08818C3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398" name="Picture 1">
          <a:extLst>
            <a:ext uri="{FF2B5EF4-FFF2-40B4-BE49-F238E27FC236}">
              <a16:creationId xmlns:a16="http://schemas.microsoft.com/office/drawing/2014/main" id="{315CBEF5-5579-4627-91ED-002838731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399" name="Picture 1">
          <a:extLst>
            <a:ext uri="{FF2B5EF4-FFF2-40B4-BE49-F238E27FC236}">
              <a16:creationId xmlns:a16="http://schemas.microsoft.com/office/drawing/2014/main" id="{7DE435D3-990C-49B8-8DE5-63E710257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400" name="Picture 1">
          <a:extLst>
            <a:ext uri="{FF2B5EF4-FFF2-40B4-BE49-F238E27FC236}">
              <a16:creationId xmlns:a16="http://schemas.microsoft.com/office/drawing/2014/main" id="{40A23EFC-72E2-4B29-AE25-8DF516BBF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401" name="Picture 1">
          <a:extLst>
            <a:ext uri="{FF2B5EF4-FFF2-40B4-BE49-F238E27FC236}">
              <a16:creationId xmlns:a16="http://schemas.microsoft.com/office/drawing/2014/main" id="{4B178900-A180-4862-B89E-DC40B406C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402" name="Picture 1">
          <a:extLst>
            <a:ext uri="{FF2B5EF4-FFF2-40B4-BE49-F238E27FC236}">
              <a16:creationId xmlns:a16="http://schemas.microsoft.com/office/drawing/2014/main" id="{EEF08261-CA22-4CB8-9A19-EA32AA258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403" name="Picture 1">
          <a:extLst>
            <a:ext uri="{FF2B5EF4-FFF2-40B4-BE49-F238E27FC236}">
              <a16:creationId xmlns:a16="http://schemas.microsoft.com/office/drawing/2014/main" id="{0DFE2058-5203-4233-BE34-FD61670FA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404" name="Picture 1">
          <a:extLst>
            <a:ext uri="{FF2B5EF4-FFF2-40B4-BE49-F238E27FC236}">
              <a16:creationId xmlns:a16="http://schemas.microsoft.com/office/drawing/2014/main" id="{385A09FF-2FD0-4CB0-8644-75DBA53A0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405" name="Picture 1">
          <a:extLst>
            <a:ext uri="{FF2B5EF4-FFF2-40B4-BE49-F238E27FC236}">
              <a16:creationId xmlns:a16="http://schemas.microsoft.com/office/drawing/2014/main" id="{05596AC4-679F-4A6B-BAD8-DF1062583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406" name="Picture 1">
          <a:extLst>
            <a:ext uri="{FF2B5EF4-FFF2-40B4-BE49-F238E27FC236}">
              <a16:creationId xmlns:a16="http://schemas.microsoft.com/office/drawing/2014/main" id="{6E4CAFCC-BDCD-4B92-9B8F-8C3DFA296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407" name="Picture 1">
          <a:extLst>
            <a:ext uri="{FF2B5EF4-FFF2-40B4-BE49-F238E27FC236}">
              <a16:creationId xmlns:a16="http://schemas.microsoft.com/office/drawing/2014/main" id="{265AD1FB-7878-41FF-B6A1-DAE482F4A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408" name="Picture 1">
          <a:extLst>
            <a:ext uri="{FF2B5EF4-FFF2-40B4-BE49-F238E27FC236}">
              <a16:creationId xmlns:a16="http://schemas.microsoft.com/office/drawing/2014/main" id="{73306F6A-BD4F-488D-8031-7A0D7E0D3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09" name="Picture 1">
          <a:extLst>
            <a:ext uri="{FF2B5EF4-FFF2-40B4-BE49-F238E27FC236}">
              <a16:creationId xmlns:a16="http://schemas.microsoft.com/office/drawing/2014/main" id="{84E372E5-ACBA-476F-A6D5-30A7DB061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10" name="Picture 1">
          <a:extLst>
            <a:ext uri="{FF2B5EF4-FFF2-40B4-BE49-F238E27FC236}">
              <a16:creationId xmlns:a16="http://schemas.microsoft.com/office/drawing/2014/main" id="{D94F8363-0AED-459F-9B15-51844CB3C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11" name="Picture 1">
          <a:extLst>
            <a:ext uri="{FF2B5EF4-FFF2-40B4-BE49-F238E27FC236}">
              <a16:creationId xmlns:a16="http://schemas.microsoft.com/office/drawing/2014/main" id="{F81ECFFE-5690-413D-8A18-CE8595CD7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12" name="Picture 1">
          <a:extLst>
            <a:ext uri="{FF2B5EF4-FFF2-40B4-BE49-F238E27FC236}">
              <a16:creationId xmlns:a16="http://schemas.microsoft.com/office/drawing/2014/main" id="{3CF222DA-CF7F-41D5-9769-E6524E613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13" name="Picture 1">
          <a:extLst>
            <a:ext uri="{FF2B5EF4-FFF2-40B4-BE49-F238E27FC236}">
              <a16:creationId xmlns:a16="http://schemas.microsoft.com/office/drawing/2014/main" id="{BE7CD417-062F-4B4E-948B-3E75FC88F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14" name="Picture 1">
          <a:extLst>
            <a:ext uri="{FF2B5EF4-FFF2-40B4-BE49-F238E27FC236}">
              <a16:creationId xmlns:a16="http://schemas.microsoft.com/office/drawing/2014/main" id="{71A19458-388C-4D89-8582-9F74A02C9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15" name="Picture 1">
          <a:extLst>
            <a:ext uri="{FF2B5EF4-FFF2-40B4-BE49-F238E27FC236}">
              <a16:creationId xmlns:a16="http://schemas.microsoft.com/office/drawing/2014/main" id="{7160E24D-1F82-43BA-9332-232E67E46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16" name="Picture 1">
          <a:extLst>
            <a:ext uri="{FF2B5EF4-FFF2-40B4-BE49-F238E27FC236}">
              <a16:creationId xmlns:a16="http://schemas.microsoft.com/office/drawing/2014/main" id="{1BFD9B65-36AF-425C-B2C9-DE954AE73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17" name="Picture 1">
          <a:extLst>
            <a:ext uri="{FF2B5EF4-FFF2-40B4-BE49-F238E27FC236}">
              <a16:creationId xmlns:a16="http://schemas.microsoft.com/office/drawing/2014/main" id="{776B1E84-06CC-469D-A1E5-989EF0909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18" name="Picture 1">
          <a:extLst>
            <a:ext uri="{FF2B5EF4-FFF2-40B4-BE49-F238E27FC236}">
              <a16:creationId xmlns:a16="http://schemas.microsoft.com/office/drawing/2014/main" id="{52E16829-604C-4140-9E18-9D2D84EE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19" name="Picture 1">
          <a:extLst>
            <a:ext uri="{FF2B5EF4-FFF2-40B4-BE49-F238E27FC236}">
              <a16:creationId xmlns:a16="http://schemas.microsoft.com/office/drawing/2014/main" id="{16798BF2-154C-4E99-B1B8-CB8528C6F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20" name="Picture 1">
          <a:extLst>
            <a:ext uri="{FF2B5EF4-FFF2-40B4-BE49-F238E27FC236}">
              <a16:creationId xmlns:a16="http://schemas.microsoft.com/office/drawing/2014/main" id="{26B3BECE-66B3-4FF4-A30E-4BEBC7BCC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21" name="Picture 1">
          <a:extLst>
            <a:ext uri="{FF2B5EF4-FFF2-40B4-BE49-F238E27FC236}">
              <a16:creationId xmlns:a16="http://schemas.microsoft.com/office/drawing/2014/main" id="{BBB898DF-69AD-42F9-9A5D-F0896F18B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22" name="Picture 1">
          <a:extLst>
            <a:ext uri="{FF2B5EF4-FFF2-40B4-BE49-F238E27FC236}">
              <a16:creationId xmlns:a16="http://schemas.microsoft.com/office/drawing/2014/main" id="{5E8F627F-47A2-45AF-9B9B-4AF3141C4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23" name="Picture 1">
          <a:extLst>
            <a:ext uri="{FF2B5EF4-FFF2-40B4-BE49-F238E27FC236}">
              <a16:creationId xmlns:a16="http://schemas.microsoft.com/office/drawing/2014/main" id="{2A96B067-081B-4F0E-B11F-477CB54E9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24" name="Picture 1">
          <a:extLst>
            <a:ext uri="{FF2B5EF4-FFF2-40B4-BE49-F238E27FC236}">
              <a16:creationId xmlns:a16="http://schemas.microsoft.com/office/drawing/2014/main" id="{69565B62-F85D-4ABF-B9F7-677FEF798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425" name="Picture 1">
          <a:extLst>
            <a:ext uri="{FF2B5EF4-FFF2-40B4-BE49-F238E27FC236}">
              <a16:creationId xmlns:a16="http://schemas.microsoft.com/office/drawing/2014/main" id="{6092B542-1960-4433-BE84-2A0C488E7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26" name="Picture 1">
          <a:extLst>
            <a:ext uri="{FF2B5EF4-FFF2-40B4-BE49-F238E27FC236}">
              <a16:creationId xmlns:a16="http://schemas.microsoft.com/office/drawing/2014/main" id="{CF0CE486-67E9-44E2-8AF2-BE67B4712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27" name="Picture 1">
          <a:extLst>
            <a:ext uri="{FF2B5EF4-FFF2-40B4-BE49-F238E27FC236}">
              <a16:creationId xmlns:a16="http://schemas.microsoft.com/office/drawing/2014/main" id="{A8AA58F5-F0A2-4424-969F-230CE1FF6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28" name="Picture 1">
          <a:extLst>
            <a:ext uri="{FF2B5EF4-FFF2-40B4-BE49-F238E27FC236}">
              <a16:creationId xmlns:a16="http://schemas.microsoft.com/office/drawing/2014/main" id="{579A8C88-8518-4EEF-A7DF-5B542A206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29" name="Picture 1">
          <a:extLst>
            <a:ext uri="{FF2B5EF4-FFF2-40B4-BE49-F238E27FC236}">
              <a16:creationId xmlns:a16="http://schemas.microsoft.com/office/drawing/2014/main" id="{F7BD2969-03CB-4BDB-81CA-494672B1E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30" name="Picture 1">
          <a:extLst>
            <a:ext uri="{FF2B5EF4-FFF2-40B4-BE49-F238E27FC236}">
              <a16:creationId xmlns:a16="http://schemas.microsoft.com/office/drawing/2014/main" id="{D669DE38-AA14-4557-AC1F-ECA405E62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31" name="Picture 1">
          <a:extLst>
            <a:ext uri="{FF2B5EF4-FFF2-40B4-BE49-F238E27FC236}">
              <a16:creationId xmlns:a16="http://schemas.microsoft.com/office/drawing/2014/main" id="{F17AA3F7-A281-48E4-83E3-655FC665D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32" name="Picture 1">
          <a:extLst>
            <a:ext uri="{FF2B5EF4-FFF2-40B4-BE49-F238E27FC236}">
              <a16:creationId xmlns:a16="http://schemas.microsoft.com/office/drawing/2014/main" id="{C75F5984-EB3D-43BD-BE92-5B58864FC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33" name="Picture 1">
          <a:extLst>
            <a:ext uri="{FF2B5EF4-FFF2-40B4-BE49-F238E27FC236}">
              <a16:creationId xmlns:a16="http://schemas.microsoft.com/office/drawing/2014/main" id="{84847360-8B53-443E-AB42-9AFA339E1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34" name="Picture 1">
          <a:extLst>
            <a:ext uri="{FF2B5EF4-FFF2-40B4-BE49-F238E27FC236}">
              <a16:creationId xmlns:a16="http://schemas.microsoft.com/office/drawing/2014/main" id="{0983CCD9-116D-403D-B3E2-8400288C3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35" name="Picture 1">
          <a:extLst>
            <a:ext uri="{FF2B5EF4-FFF2-40B4-BE49-F238E27FC236}">
              <a16:creationId xmlns:a16="http://schemas.microsoft.com/office/drawing/2014/main" id="{E56D211C-3B33-48CD-ABBC-144D74585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36" name="Picture 1">
          <a:extLst>
            <a:ext uri="{FF2B5EF4-FFF2-40B4-BE49-F238E27FC236}">
              <a16:creationId xmlns:a16="http://schemas.microsoft.com/office/drawing/2014/main" id="{9F32602A-4AEA-47C9-BD4C-3B5233FF7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37" name="Picture 1">
          <a:extLst>
            <a:ext uri="{FF2B5EF4-FFF2-40B4-BE49-F238E27FC236}">
              <a16:creationId xmlns:a16="http://schemas.microsoft.com/office/drawing/2014/main" id="{A29A936D-5994-41A0-B8E0-ED8D006AF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38" name="Picture 1">
          <a:extLst>
            <a:ext uri="{FF2B5EF4-FFF2-40B4-BE49-F238E27FC236}">
              <a16:creationId xmlns:a16="http://schemas.microsoft.com/office/drawing/2014/main" id="{2F74A13B-4E00-4581-88A8-604B8DD2D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39" name="Picture 1">
          <a:extLst>
            <a:ext uri="{FF2B5EF4-FFF2-40B4-BE49-F238E27FC236}">
              <a16:creationId xmlns:a16="http://schemas.microsoft.com/office/drawing/2014/main" id="{16BEA22A-F6E7-4134-BC89-EF5C81408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40" name="Picture 1">
          <a:extLst>
            <a:ext uri="{FF2B5EF4-FFF2-40B4-BE49-F238E27FC236}">
              <a16:creationId xmlns:a16="http://schemas.microsoft.com/office/drawing/2014/main" id="{8ADF13F8-6386-4FA8-86F4-431EC484D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41" name="Picture 1">
          <a:extLst>
            <a:ext uri="{FF2B5EF4-FFF2-40B4-BE49-F238E27FC236}">
              <a16:creationId xmlns:a16="http://schemas.microsoft.com/office/drawing/2014/main" id="{ED46C0E9-08C7-4103-8AB7-FF1C11675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442" name="Picture 1">
          <a:extLst>
            <a:ext uri="{FF2B5EF4-FFF2-40B4-BE49-F238E27FC236}">
              <a16:creationId xmlns:a16="http://schemas.microsoft.com/office/drawing/2014/main" id="{7A623E35-F477-48AB-8809-A4D027F5E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43" name="Picture 1">
          <a:extLst>
            <a:ext uri="{FF2B5EF4-FFF2-40B4-BE49-F238E27FC236}">
              <a16:creationId xmlns:a16="http://schemas.microsoft.com/office/drawing/2014/main" id="{7929497A-0F4B-4403-B23E-5BB2E87BB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44" name="Picture 1">
          <a:extLst>
            <a:ext uri="{FF2B5EF4-FFF2-40B4-BE49-F238E27FC236}">
              <a16:creationId xmlns:a16="http://schemas.microsoft.com/office/drawing/2014/main" id="{7045464D-AA37-4463-98ED-4A164F6D5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45" name="Picture 1">
          <a:extLst>
            <a:ext uri="{FF2B5EF4-FFF2-40B4-BE49-F238E27FC236}">
              <a16:creationId xmlns:a16="http://schemas.microsoft.com/office/drawing/2014/main" id="{7A8290F9-C2DD-4187-8F49-CFC51AFBF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46" name="Picture 1">
          <a:extLst>
            <a:ext uri="{FF2B5EF4-FFF2-40B4-BE49-F238E27FC236}">
              <a16:creationId xmlns:a16="http://schemas.microsoft.com/office/drawing/2014/main" id="{DDDC173E-F9E4-4CFB-B960-80ECFBCDB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47" name="Picture 1">
          <a:extLst>
            <a:ext uri="{FF2B5EF4-FFF2-40B4-BE49-F238E27FC236}">
              <a16:creationId xmlns:a16="http://schemas.microsoft.com/office/drawing/2014/main" id="{6E13994B-2E97-476F-95B0-287D27B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48" name="Picture 1">
          <a:extLst>
            <a:ext uri="{FF2B5EF4-FFF2-40B4-BE49-F238E27FC236}">
              <a16:creationId xmlns:a16="http://schemas.microsoft.com/office/drawing/2014/main" id="{62A87DE9-B35C-4959-BD6A-B3E7805E0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49" name="Picture 1">
          <a:extLst>
            <a:ext uri="{FF2B5EF4-FFF2-40B4-BE49-F238E27FC236}">
              <a16:creationId xmlns:a16="http://schemas.microsoft.com/office/drawing/2014/main" id="{308233E5-3C70-4525-BE1C-B857BD99B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50" name="Picture 1">
          <a:extLst>
            <a:ext uri="{FF2B5EF4-FFF2-40B4-BE49-F238E27FC236}">
              <a16:creationId xmlns:a16="http://schemas.microsoft.com/office/drawing/2014/main" id="{56170CD2-4655-46C5-8896-5ADDFED1E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51" name="Picture 1">
          <a:extLst>
            <a:ext uri="{FF2B5EF4-FFF2-40B4-BE49-F238E27FC236}">
              <a16:creationId xmlns:a16="http://schemas.microsoft.com/office/drawing/2014/main" id="{FDCF723B-7798-4489-9201-18CE72970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52" name="Picture 1">
          <a:extLst>
            <a:ext uri="{FF2B5EF4-FFF2-40B4-BE49-F238E27FC236}">
              <a16:creationId xmlns:a16="http://schemas.microsoft.com/office/drawing/2014/main" id="{5630D614-82ED-43BA-89C6-5B03CB31F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53" name="Picture 1">
          <a:extLst>
            <a:ext uri="{FF2B5EF4-FFF2-40B4-BE49-F238E27FC236}">
              <a16:creationId xmlns:a16="http://schemas.microsoft.com/office/drawing/2014/main" id="{505DD54A-0DF5-4B91-9F4D-40DF3EDBE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54" name="Picture 1">
          <a:extLst>
            <a:ext uri="{FF2B5EF4-FFF2-40B4-BE49-F238E27FC236}">
              <a16:creationId xmlns:a16="http://schemas.microsoft.com/office/drawing/2014/main" id="{328A7468-4A9D-4133-97A8-F285A8836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55" name="Picture 1">
          <a:extLst>
            <a:ext uri="{FF2B5EF4-FFF2-40B4-BE49-F238E27FC236}">
              <a16:creationId xmlns:a16="http://schemas.microsoft.com/office/drawing/2014/main" id="{B6D175E5-D121-45D9-A67A-53E8F2A8D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56" name="Picture 1">
          <a:extLst>
            <a:ext uri="{FF2B5EF4-FFF2-40B4-BE49-F238E27FC236}">
              <a16:creationId xmlns:a16="http://schemas.microsoft.com/office/drawing/2014/main" id="{B10D18E4-577E-4662-8F68-975DAD55B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57" name="Picture 1">
          <a:extLst>
            <a:ext uri="{FF2B5EF4-FFF2-40B4-BE49-F238E27FC236}">
              <a16:creationId xmlns:a16="http://schemas.microsoft.com/office/drawing/2014/main" id="{DE502F1E-B3B4-46EF-86D1-9836845F8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58" name="Picture 1">
          <a:extLst>
            <a:ext uri="{FF2B5EF4-FFF2-40B4-BE49-F238E27FC236}">
              <a16:creationId xmlns:a16="http://schemas.microsoft.com/office/drawing/2014/main" id="{DA95BD9E-33F0-45A2-8F9A-EB029672A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459" name="Picture 1">
          <a:extLst>
            <a:ext uri="{FF2B5EF4-FFF2-40B4-BE49-F238E27FC236}">
              <a16:creationId xmlns:a16="http://schemas.microsoft.com/office/drawing/2014/main" id="{8399E0A8-0C62-498F-ABFB-A2BFF1267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60" name="Picture 1">
          <a:extLst>
            <a:ext uri="{FF2B5EF4-FFF2-40B4-BE49-F238E27FC236}">
              <a16:creationId xmlns:a16="http://schemas.microsoft.com/office/drawing/2014/main" id="{D4F1C7F9-BD73-4E6B-AD12-D7C97C7A7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61" name="Picture 1">
          <a:extLst>
            <a:ext uri="{FF2B5EF4-FFF2-40B4-BE49-F238E27FC236}">
              <a16:creationId xmlns:a16="http://schemas.microsoft.com/office/drawing/2014/main" id="{63372A2D-EB84-4B62-A71F-62856FB48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62" name="Picture 1">
          <a:extLst>
            <a:ext uri="{FF2B5EF4-FFF2-40B4-BE49-F238E27FC236}">
              <a16:creationId xmlns:a16="http://schemas.microsoft.com/office/drawing/2014/main" id="{1D037CE5-63C7-4373-B8DC-000B714EB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63" name="Picture 1">
          <a:extLst>
            <a:ext uri="{FF2B5EF4-FFF2-40B4-BE49-F238E27FC236}">
              <a16:creationId xmlns:a16="http://schemas.microsoft.com/office/drawing/2014/main" id="{70C12463-6537-439F-A651-26D50CD99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64" name="Picture 1">
          <a:extLst>
            <a:ext uri="{FF2B5EF4-FFF2-40B4-BE49-F238E27FC236}">
              <a16:creationId xmlns:a16="http://schemas.microsoft.com/office/drawing/2014/main" id="{675B92FD-7203-4C01-99A8-FF5AD6004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65" name="Picture 1">
          <a:extLst>
            <a:ext uri="{FF2B5EF4-FFF2-40B4-BE49-F238E27FC236}">
              <a16:creationId xmlns:a16="http://schemas.microsoft.com/office/drawing/2014/main" id="{D106398A-862C-4246-8306-28560C174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66" name="Picture 1">
          <a:extLst>
            <a:ext uri="{FF2B5EF4-FFF2-40B4-BE49-F238E27FC236}">
              <a16:creationId xmlns:a16="http://schemas.microsoft.com/office/drawing/2014/main" id="{D8F9112D-C369-4410-B459-EB5EF9D19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67" name="Picture 1">
          <a:extLst>
            <a:ext uri="{FF2B5EF4-FFF2-40B4-BE49-F238E27FC236}">
              <a16:creationId xmlns:a16="http://schemas.microsoft.com/office/drawing/2014/main" id="{106F4131-5134-444D-9227-DD708DEFA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68" name="Picture 1">
          <a:extLst>
            <a:ext uri="{FF2B5EF4-FFF2-40B4-BE49-F238E27FC236}">
              <a16:creationId xmlns:a16="http://schemas.microsoft.com/office/drawing/2014/main" id="{89D5BFAC-D353-4879-8C30-9D8B132A5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69" name="Picture 1">
          <a:extLst>
            <a:ext uri="{FF2B5EF4-FFF2-40B4-BE49-F238E27FC236}">
              <a16:creationId xmlns:a16="http://schemas.microsoft.com/office/drawing/2014/main" id="{ADDDD458-A8FA-462C-BDB6-459A78D94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70" name="Picture 1">
          <a:extLst>
            <a:ext uri="{FF2B5EF4-FFF2-40B4-BE49-F238E27FC236}">
              <a16:creationId xmlns:a16="http://schemas.microsoft.com/office/drawing/2014/main" id="{CD59BD38-8F1B-4C3B-9CFD-6D8B66B02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71" name="Picture 1">
          <a:extLst>
            <a:ext uri="{FF2B5EF4-FFF2-40B4-BE49-F238E27FC236}">
              <a16:creationId xmlns:a16="http://schemas.microsoft.com/office/drawing/2014/main" id="{6C6C4BB0-4252-4818-AA22-E9DFC923F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72" name="Picture 1">
          <a:extLst>
            <a:ext uri="{FF2B5EF4-FFF2-40B4-BE49-F238E27FC236}">
              <a16:creationId xmlns:a16="http://schemas.microsoft.com/office/drawing/2014/main" id="{E0BBB51E-9505-4C27-A041-A88E4C961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73" name="Picture 1">
          <a:extLst>
            <a:ext uri="{FF2B5EF4-FFF2-40B4-BE49-F238E27FC236}">
              <a16:creationId xmlns:a16="http://schemas.microsoft.com/office/drawing/2014/main" id="{04AF8597-3058-434A-B63B-F5A6DD6B9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74" name="Picture 1">
          <a:extLst>
            <a:ext uri="{FF2B5EF4-FFF2-40B4-BE49-F238E27FC236}">
              <a16:creationId xmlns:a16="http://schemas.microsoft.com/office/drawing/2014/main" id="{E405625A-E90B-47C0-98D2-0FAFBBD51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75" name="Picture 1">
          <a:extLst>
            <a:ext uri="{FF2B5EF4-FFF2-40B4-BE49-F238E27FC236}">
              <a16:creationId xmlns:a16="http://schemas.microsoft.com/office/drawing/2014/main" id="{94610116-8C0E-4E16-A39F-87D4C9631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476" name="Picture 1">
          <a:extLst>
            <a:ext uri="{FF2B5EF4-FFF2-40B4-BE49-F238E27FC236}">
              <a16:creationId xmlns:a16="http://schemas.microsoft.com/office/drawing/2014/main" id="{4AA5020A-7BE8-4D0F-9F98-36CE9AC7B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55</xdr:row>
      <xdr:rowOff>144360</xdr:rowOff>
    </xdr:from>
    <xdr:ext cx="1294920" cy="57240"/>
    <xdr:pic>
      <xdr:nvPicPr>
        <xdr:cNvPr id="477" name="Picture 1">
          <a:extLst>
            <a:ext uri="{FF2B5EF4-FFF2-40B4-BE49-F238E27FC236}">
              <a16:creationId xmlns:a16="http://schemas.microsoft.com/office/drawing/2014/main" id="{6AF3A26F-ACF5-410A-91F7-1B2D7BF20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326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55</xdr:row>
      <xdr:rowOff>144360</xdr:rowOff>
    </xdr:from>
    <xdr:ext cx="1294920" cy="57240"/>
    <xdr:pic>
      <xdr:nvPicPr>
        <xdr:cNvPr id="478" name="Picture 1">
          <a:extLst>
            <a:ext uri="{FF2B5EF4-FFF2-40B4-BE49-F238E27FC236}">
              <a16:creationId xmlns:a16="http://schemas.microsoft.com/office/drawing/2014/main" id="{1335A7A3-4E83-41C8-9379-9AF34C65C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326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56</xdr:row>
      <xdr:rowOff>144360</xdr:rowOff>
    </xdr:from>
    <xdr:ext cx="1294920" cy="57240"/>
    <xdr:pic>
      <xdr:nvPicPr>
        <xdr:cNvPr id="479" name="Picture 1">
          <a:extLst>
            <a:ext uri="{FF2B5EF4-FFF2-40B4-BE49-F238E27FC236}">
              <a16:creationId xmlns:a16="http://schemas.microsoft.com/office/drawing/2014/main" id="{4803B588-9215-4CE7-B02E-3AB2DFD31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517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57</xdr:row>
      <xdr:rowOff>144360</xdr:rowOff>
    </xdr:from>
    <xdr:ext cx="1294920" cy="57240"/>
    <xdr:pic>
      <xdr:nvPicPr>
        <xdr:cNvPr id="480" name="Picture 1">
          <a:extLst>
            <a:ext uri="{FF2B5EF4-FFF2-40B4-BE49-F238E27FC236}">
              <a16:creationId xmlns:a16="http://schemas.microsoft.com/office/drawing/2014/main" id="{998EE53D-ACAB-4F3C-9674-C26A63EA2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707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58</xdr:row>
      <xdr:rowOff>144000</xdr:rowOff>
    </xdr:from>
    <xdr:ext cx="1294920" cy="57960"/>
    <xdr:pic>
      <xdr:nvPicPr>
        <xdr:cNvPr id="481" name="Picture 1">
          <a:extLst>
            <a:ext uri="{FF2B5EF4-FFF2-40B4-BE49-F238E27FC236}">
              <a16:creationId xmlns:a16="http://schemas.microsoft.com/office/drawing/2014/main" id="{A8DD8EA2-E4B4-4D1C-A89E-33D67467E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8978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58</xdr:row>
      <xdr:rowOff>144000</xdr:rowOff>
    </xdr:from>
    <xdr:ext cx="1294920" cy="57960"/>
    <xdr:pic>
      <xdr:nvPicPr>
        <xdr:cNvPr id="482" name="Picture 1">
          <a:extLst>
            <a:ext uri="{FF2B5EF4-FFF2-40B4-BE49-F238E27FC236}">
              <a16:creationId xmlns:a16="http://schemas.microsoft.com/office/drawing/2014/main" id="{2CAC0483-1FB8-41FC-A8FE-FF2E93082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8978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59</xdr:row>
      <xdr:rowOff>144360</xdr:rowOff>
    </xdr:from>
    <xdr:ext cx="1294920" cy="57240"/>
    <xdr:pic>
      <xdr:nvPicPr>
        <xdr:cNvPr id="483" name="Picture 1">
          <a:extLst>
            <a:ext uri="{FF2B5EF4-FFF2-40B4-BE49-F238E27FC236}">
              <a16:creationId xmlns:a16="http://schemas.microsoft.com/office/drawing/2014/main" id="{601E015E-2D38-4748-9878-0057CA255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088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59</xdr:row>
      <xdr:rowOff>144360</xdr:rowOff>
    </xdr:from>
    <xdr:ext cx="1294920" cy="57240"/>
    <xdr:pic>
      <xdr:nvPicPr>
        <xdr:cNvPr id="484" name="Picture 1">
          <a:extLst>
            <a:ext uri="{FF2B5EF4-FFF2-40B4-BE49-F238E27FC236}">
              <a16:creationId xmlns:a16="http://schemas.microsoft.com/office/drawing/2014/main" id="{EC8EA8F9-A537-451C-AD1C-FA400493B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088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60</xdr:row>
      <xdr:rowOff>144360</xdr:rowOff>
    </xdr:from>
    <xdr:ext cx="1294920" cy="57240"/>
    <xdr:pic>
      <xdr:nvPicPr>
        <xdr:cNvPr id="485" name="Picture 1">
          <a:extLst>
            <a:ext uri="{FF2B5EF4-FFF2-40B4-BE49-F238E27FC236}">
              <a16:creationId xmlns:a16="http://schemas.microsoft.com/office/drawing/2014/main" id="{913DBA3D-0FAB-41AA-AE16-7EC1AA488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279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60</xdr:row>
      <xdr:rowOff>144360</xdr:rowOff>
    </xdr:from>
    <xdr:ext cx="1294920" cy="57240"/>
    <xdr:pic>
      <xdr:nvPicPr>
        <xdr:cNvPr id="486" name="Picture 1">
          <a:extLst>
            <a:ext uri="{FF2B5EF4-FFF2-40B4-BE49-F238E27FC236}">
              <a16:creationId xmlns:a16="http://schemas.microsoft.com/office/drawing/2014/main" id="{63B9C6D8-C415-4DF6-B310-DD2CB60DD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279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61</xdr:row>
      <xdr:rowOff>144000</xdr:rowOff>
    </xdr:from>
    <xdr:ext cx="1294920" cy="57960"/>
    <xdr:pic>
      <xdr:nvPicPr>
        <xdr:cNvPr id="487" name="Picture 1">
          <a:extLst>
            <a:ext uri="{FF2B5EF4-FFF2-40B4-BE49-F238E27FC236}">
              <a16:creationId xmlns:a16="http://schemas.microsoft.com/office/drawing/2014/main" id="{F774EFF2-8F34-4AE7-8422-B51846B03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469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61</xdr:row>
      <xdr:rowOff>144000</xdr:rowOff>
    </xdr:from>
    <xdr:ext cx="1294920" cy="57960"/>
    <xdr:pic>
      <xdr:nvPicPr>
        <xdr:cNvPr id="488" name="Picture 1">
          <a:extLst>
            <a:ext uri="{FF2B5EF4-FFF2-40B4-BE49-F238E27FC236}">
              <a16:creationId xmlns:a16="http://schemas.microsoft.com/office/drawing/2014/main" id="{378138A9-8F4B-4D1A-911A-5F185D1CB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469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62</xdr:row>
      <xdr:rowOff>144360</xdr:rowOff>
    </xdr:from>
    <xdr:ext cx="1294920" cy="57240"/>
    <xdr:pic>
      <xdr:nvPicPr>
        <xdr:cNvPr id="489" name="Picture 1">
          <a:extLst>
            <a:ext uri="{FF2B5EF4-FFF2-40B4-BE49-F238E27FC236}">
              <a16:creationId xmlns:a16="http://schemas.microsoft.com/office/drawing/2014/main" id="{648C028C-819D-4603-88A4-CE175B6DA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660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62</xdr:row>
      <xdr:rowOff>144360</xdr:rowOff>
    </xdr:from>
    <xdr:ext cx="1294920" cy="57240"/>
    <xdr:pic>
      <xdr:nvPicPr>
        <xdr:cNvPr id="490" name="Picture 1">
          <a:extLst>
            <a:ext uri="{FF2B5EF4-FFF2-40B4-BE49-F238E27FC236}">
              <a16:creationId xmlns:a16="http://schemas.microsoft.com/office/drawing/2014/main" id="{722A0261-F1E9-42BF-BF6F-CFE81FB04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660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63</xdr:row>
      <xdr:rowOff>144000</xdr:rowOff>
    </xdr:from>
    <xdr:ext cx="1294920" cy="57960"/>
    <xdr:pic>
      <xdr:nvPicPr>
        <xdr:cNvPr id="491" name="Picture 1">
          <a:extLst>
            <a:ext uri="{FF2B5EF4-FFF2-40B4-BE49-F238E27FC236}">
              <a16:creationId xmlns:a16="http://schemas.microsoft.com/office/drawing/2014/main" id="{30BD1164-6491-43A9-B6BD-53DD79FB1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850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63</xdr:row>
      <xdr:rowOff>144000</xdr:rowOff>
    </xdr:from>
    <xdr:ext cx="1294920" cy="57960"/>
    <xdr:pic>
      <xdr:nvPicPr>
        <xdr:cNvPr id="492" name="Picture 1">
          <a:extLst>
            <a:ext uri="{FF2B5EF4-FFF2-40B4-BE49-F238E27FC236}">
              <a16:creationId xmlns:a16="http://schemas.microsoft.com/office/drawing/2014/main" id="{5F6BC76D-545C-4B1B-A60C-50B25C524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850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64</xdr:row>
      <xdr:rowOff>144360</xdr:rowOff>
    </xdr:from>
    <xdr:ext cx="1294920" cy="57240"/>
    <xdr:pic>
      <xdr:nvPicPr>
        <xdr:cNvPr id="493" name="Picture 1">
          <a:extLst>
            <a:ext uri="{FF2B5EF4-FFF2-40B4-BE49-F238E27FC236}">
              <a16:creationId xmlns:a16="http://schemas.microsoft.com/office/drawing/2014/main" id="{B02EF39C-7B57-401F-A6B9-5E96CDD9F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041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64</xdr:row>
      <xdr:rowOff>144360</xdr:rowOff>
    </xdr:from>
    <xdr:ext cx="1294920" cy="57240"/>
    <xdr:pic>
      <xdr:nvPicPr>
        <xdr:cNvPr id="494" name="Picture 1">
          <a:extLst>
            <a:ext uri="{FF2B5EF4-FFF2-40B4-BE49-F238E27FC236}">
              <a16:creationId xmlns:a16="http://schemas.microsoft.com/office/drawing/2014/main" id="{40958075-5738-4AB1-A4B8-0511AE00F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041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65</xdr:row>
      <xdr:rowOff>144360</xdr:rowOff>
    </xdr:from>
    <xdr:ext cx="1294920" cy="57240"/>
    <xdr:pic>
      <xdr:nvPicPr>
        <xdr:cNvPr id="495" name="Picture 1">
          <a:extLst>
            <a:ext uri="{FF2B5EF4-FFF2-40B4-BE49-F238E27FC236}">
              <a16:creationId xmlns:a16="http://schemas.microsoft.com/office/drawing/2014/main" id="{6205ABC1-030A-4D05-82CF-08FC2E054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231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65</xdr:row>
      <xdr:rowOff>144360</xdr:rowOff>
    </xdr:from>
    <xdr:ext cx="1294920" cy="57240"/>
    <xdr:pic>
      <xdr:nvPicPr>
        <xdr:cNvPr id="496" name="Picture 1">
          <a:extLst>
            <a:ext uri="{FF2B5EF4-FFF2-40B4-BE49-F238E27FC236}">
              <a16:creationId xmlns:a16="http://schemas.microsoft.com/office/drawing/2014/main" id="{8275C118-66A8-43ED-B7CB-5AC8358FB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231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66</xdr:row>
      <xdr:rowOff>144000</xdr:rowOff>
    </xdr:from>
    <xdr:ext cx="1294920" cy="57960"/>
    <xdr:pic>
      <xdr:nvPicPr>
        <xdr:cNvPr id="497" name="Picture 1">
          <a:extLst>
            <a:ext uri="{FF2B5EF4-FFF2-40B4-BE49-F238E27FC236}">
              <a16:creationId xmlns:a16="http://schemas.microsoft.com/office/drawing/2014/main" id="{6280014A-A1B1-404A-B413-829824AC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4313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66</xdr:row>
      <xdr:rowOff>144000</xdr:rowOff>
    </xdr:from>
    <xdr:ext cx="1294920" cy="57960"/>
    <xdr:pic>
      <xdr:nvPicPr>
        <xdr:cNvPr id="498" name="Picture 1">
          <a:extLst>
            <a:ext uri="{FF2B5EF4-FFF2-40B4-BE49-F238E27FC236}">
              <a16:creationId xmlns:a16="http://schemas.microsoft.com/office/drawing/2014/main" id="{64128956-3D8B-4157-A327-7C1EAE603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4313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67</xdr:row>
      <xdr:rowOff>144360</xdr:rowOff>
    </xdr:from>
    <xdr:ext cx="1294920" cy="57240"/>
    <xdr:pic>
      <xdr:nvPicPr>
        <xdr:cNvPr id="499" name="Picture 1">
          <a:extLst>
            <a:ext uri="{FF2B5EF4-FFF2-40B4-BE49-F238E27FC236}">
              <a16:creationId xmlns:a16="http://schemas.microsoft.com/office/drawing/2014/main" id="{347046E5-EE1D-4E56-8EFA-91D528A9F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63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67</xdr:row>
      <xdr:rowOff>144360</xdr:rowOff>
    </xdr:from>
    <xdr:ext cx="1294920" cy="57240"/>
    <xdr:pic>
      <xdr:nvPicPr>
        <xdr:cNvPr id="500" name="Picture 1">
          <a:extLst>
            <a:ext uri="{FF2B5EF4-FFF2-40B4-BE49-F238E27FC236}">
              <a16:creationId xmlns:a16="http://schemas.microsoft.com/office/drawing/2014/main" id="{2DD52988-CBE5-4654-B7C6-3EA1F18C8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63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68</xdr:row>
      <xdr:rowOff>144360</xdr:rowOff>
    </xdr:from>
    <xdr:ext cx="1294920" cy="57240"/>
    <xdr:pic>
      <xdr:nvPicPr>
        <xdr:cNvPr id="501" name="Picture 1">
          <a:extLst>
            <a:ext uri="{FF2B5EF4-FFF2-40B4-BE49-F238E27FC236}">
              <a16:creationId xmlns:a16="http://schemas.microsoft.com/office/drawing/2014/main" id="{DF5A3293-D953-404B-9599-31C7048BA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8317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68</xdr:row>
      <xdr:rowOff>144360</xdr:rowOff>
    </xdr:from>
    <xdr:ext cx="1294920" cy="57240"/>
    <xdr:pic>
      <xdr:nvPicPr>
        <xdr:cNvPr id="502" name="Picture 1">
          <a:extLst>
            <a:ext uri="{FF2B5EF4-FFF2-40B4-BE49-F238E27FC236}">
              <a16:creationId xmlns:a16="http://schemas.microsoft.com/office/drawing/2014/main" id="{A4411628-F0DB-44CC-B76A-5C912ED33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8317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69</xdr:row>
      <xdr:rowOff>144000</xdr:rowOff>
    </xdr:from>
    <xdr:ext cx="1294920" cy="57240"/>
    <xdr:pic>
      <xdr:nvPicPr>
        <xdr:cNvPr id="503" name="Picture 1">
          <a:extLst>
            <a:ext uri="{FF2B5EF4-FFF2-40B4-BE49-F238E27FC236}">
              <a16:creationId xmlns:a16="http://schemas.microsoft.com/office/drawing/2014/main" id="{C84723AD-3B13-4841-9B42-33C73B998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03145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69</xdr:row>
      <xdr:rowOff>144000</xdr:rowOff>
    </xdr:from>
    <xdr:ext cx="1294920" cy="57240"/>
    <xdr:pic>
      <xdr:nvPicPr>
        <xdr:cNvPr id="504" name="Picture 1">
          <a:extLst>
            <a:ext uri="{FF2B5EF4-FFF2-40B4-BE49-F238E27FC236}">
              <a16:creationId xmlns:a16="http://schemas.microsoft.com/office/drawing/2014/main" id="{E18C86A8-A175-4C92-9FB5-42F488619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03145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294920" cy="57240"/>
    <xdr:pic>
      <xdr:nvPicPr>
        <xdr:cNvPr id="505" name="Picture 1">
          <a:extLst>
            <a:ext uri="{FF2B5EF4-FFF2-40B4-BE49-F238E27FC236}">
              <a16:creationId xmlns:a16="http://schemas.microsoft.com/office/drawing/2014/main" id="{FD2F802C-7DB0-4C64-A52E-1E94968D5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294920" cy="57240"/>
    <xdr:pic>
      <xdr:nvPicPr>
        <xdr:cNvPr id="506" name="Picture 1">
          <a:extLst>
            <a:ext uri="{FF2B5EF4-FFF2-40B4-BE49-F238E27FC236}">
              <a16:creationId xmlns:a16="http://schemas.microsoft.com/office/drawing/2014/main" id="{8B89B4A0-6BA8-4F2D-8E7B-C2805F059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294920" cy="57960"/>
    <xdr:pic>
      <xdr:nvPicPr>
        <xdr:cNvPr id="507" name="Picture 1">
          <a:extLst>
            <a:ext uri="{FF2B5EF4-FFF2-40B4-BE49-F238E27FC236}">
              <a16:creationId xmlns:a16="http://schemas.microsoft.com/office/drawing/2014/main" id="{5952EC3A-9605-4E0B-A68D-AD5375BA3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294920" cy="57960"/>
    <xdr:pic>
      <xdr:nvPicPr>
        <xdr:cNvPr id="508" name="Picture 1">
          <a:extLst>
            <a:ext uri="{FF2B5EF4-FFF2-40B4-BE49-F238E27FC236}">
              <a16:creationId xmlns:a16="http://schemas.microsoft.com/office/drawing/2014/main" id="{F58AFAB0-1649-4797-BEA4-A8D3C06DF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72</xdr:row>
      <xdr:rowOff>144360</xdr:rowOff>
    </xdr:from>
    <xdr:ext cx="1294920" cy="57240"/>
    <xdr:pic>
      <xdr:nvPicPr>
        <xdr:cNvPr id="509" name="Picture 1">
          <a:extLst>
            <a:ext uri="{FF2B5EF4-FFF2-40B4-BE49-F238E27FC236}">
              <a16:creationId xmlns:a16="http://schemas.microsoft.com/office/drawing/2014/main" id="{30485280-F8C4-4224-A902-62248689F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6318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72</xdr:row>
      <xdr:rowOff>144360</xdr:rowOff>
    </xdr:from>
    <xdr:ext cx="1294920" cy="57240"/>
    <xdr:pic>
      <xdr:nvPicPr>
        <xdr:cNvPr id="510" name="Picture 1">
          <a:extLst>
            <a:ext uri="{FF2B5EF4-FFF2-40B4-BE49-F238E27FC236}">
              <a16:creationId xmlns:a16="http://schemas.microsoft.com/office/drawing/2014/main" id="{FDF501B1-4494-4A8C-8251-B93A7E395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6318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73</xdr:row>
      <xdr:rowOff>144360</xdr:rowOff>
    </xdr:from>
    <xdr:ext cx="1294920" cy="57240"/>
    <xdr:pic>
      <xdr:nvPicPr>
        <xdr:cNvPr id="511" name="Picture 1">
          <a:extLst>
            <a:ext uri="{FF2B5EF4-FFF2-40B4-BE49-F238E27FC236}">
              <a16:creationId xmlns:a16="http://schemas.microsoft.com/office/drawing/2014/main" id="{5FEF3887-0EEA-4C1C-A9F4-0B39D36F3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8319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73</xdr:row>
      <xdr:rowOff>144360</xdr:rowOff>
    </xdr:from>
    <xdr:ext cx="1294920" cy="57240"/>
    <xdr:pic>
      <xdr:nvPicPr>
        <xdr:cNvPr id="512" name="Picture 1">
          <a:extLst>
            <a:ext uri="{FF2B5EF4-FFF2-40B4-BE49-F238E27FC236}">
              <a16:creationId xmlns:a16="http://schemas.microsoft.com/office/drawing/2014/main" id="{A601E3DC-5879-4C89-B9A1-A6F6F4419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8319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74</xdr:row>
      <xdr:rowOff>144000</xdr:rowOff>
    </xdr:from>
    <xdr:ext cx="1294920" cy="57960"/>
    <xdr:pic>
      <xdr:nvPicPr>
        <xdr:cNvPr id="513" name="Picture 1">
          <a:extLst>
            <a:ext uri="{FF2B5EF4-FFF2-40B4-BE49-F238E27FC236}">
              <a16:creationId xmlns:a16="http://schemas.microsoft.com/office/drawing/2014/main" id="{BEE106BF-4AD5-4B02-97DC-CC4C68CD0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0315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74</xdr:row>
      <xdr:rowOff>144000</xdr:rowOff>
    </xdr:from>
    <xdr:ext cx="1294920" cy="57960"/>
    <xdr:pic>
      <xdr:nvPicPr>
        <xdr:cNvPr id="514" name="Picture 1">
          <a:extLst>
            <a:ext uri="{FF2B5EF4-FFF2-40B4-BE49-F238E27FC236}">
              <a16:creationId xmlns:a16="http://schemas.microsoft.com/office/drawing/2014/main" id="{7A0E150E-4AB5-4535-899E-8DE4C6B54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0315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75</xdr:row>
      <xdr:rowOff>144360</xdr:rowOff>
    </xdr:from>
    <xdr:ext cx="1294920" cy="57240"/>
    <xdr:pic>
      <xdr:nvPicPr>
        <xdr:cNvPr id="515" name="Picture 1">
          <a:extLst>
            <a:ext uri="{FF2B5EF4-FFF2-40B4-BE49-F238E27FC236}">
              <a16:creationId xmlns:a16="http://schemas.microsoft.com/office/drawing/2014/main" id="{634022EC-5E44-467E-8C64-B4510C34E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2319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75</xdr:row>
      <xdr:rowOff>144360</xdr:rowOff>
    </xdr:from>
    <xdr:ext cx="1294920" cy="57240"/>
    <xdr:pic>
      <xdr:nvPicPr>
        <xdr:cNvPr id="516" name="Picture 1">
          <a:extLst>
            <a:ext uri="{FF2B5EF4-FFF2-40B4-BE49-F238E27FC236}">
              <a16:creationId xmlns:a16="http://schemas.microsoft.com/office/drawing/2014/main" id="{379C57EF-EE59-41BF-A7E9-649C87D5E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2319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76</xdr:row>
      <xdr:rowOff>144000</xdr:rowOff>
    </xdr:from>
    <xdr:ext cx="1294920" cy="57960"/>
    <xdr:pic>
      <xdr:nvPicPr>
        <xdr:cNvPr id="517" name="Picture 1">
          <a:extLst>
            <a:ext uri="{FF2B5EF4-FFF2-40B4-BE49-F238E27FC236}">
              <a16:creationId xmlns:a16="http://schemas.microsoft.com/office/drawing/2014/main" id="{29B1BD1F-79B4-436B-BD39-DB3C1CA42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4316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76</xdr:row>
      <xdr:rowOff>144000</xdr:rowOff>
    </xdr:from>
    <xdr:ext cx="1294920" cy="57960"/>
    <xdr:pic>
      <xdr:nvPicPr>
        <xdr:cNvPr id="518" name="Picture 1">
          <a:extLst>
            <a:ext uri="{FF2B5EF4-FFF2-40B4-BE49-F238E27FC236}">
              <a16:creationId xmlns:a16="http://schemas.microsoft.com/office/drawing/2014/main" id="{AB67C2B1-66CA-4517-9A20-068D924ED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4316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77</xdr:row>
      <xdr:rowOff>144360</xdr:rowOff>
    </xdr:from>
    <xdr:ext cx="1294920" cy="57240"/>
    <xdr:pic>
      <xdr:nvPicPr>
        <xdr:cNvPr id="519" name="Picture 1">
          <a:extLst>
            <a:ext uri="{FF2B5EF4-FFF2-40B4-BE49-F238E27FC236}">
              <a16:creationId xmlns:a16="http://schemas.microsoft.com/office/drawing/2014/main" id="{73F92B4B-D33D-4E2D-B057-51B7BB56A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6320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77</xdr:row>
      <xdr:rowOff>144360</xdr:rowOff>
    </xdr:from>
    <xdr:ext cx="1294920" cy="57240"/>
    <xdr:pic>
      <xdr:nvPicPr>
        <xdr:cNvPr id="520" name="Picture 1">
          <a:extLst>
            <a:ext uri="{FF2B5EF4-FFF2-40B4-BE49-F238E27FC236}">
              <a16:creationId xmlns:a16="http://schemas.microsoft.com/office/drawing/2014/main" id="{88C79EF5-F4A7-4024-B88F-E2EA5D7F3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6320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78</xdr:row>
      <xdr:rowOff>144360</xdr:rowOff>
    </xdr:from>
    <xdr:ext cx="1294920" cy="57240"/>
    <xdr:pic>
      <xdr:nvPicPr>
        <xdr:cNvPr id="521" name="Picture 1">
          <a:extLst>
            <a:ext uri="{FF2B5EF4-FFF2-40B4-BE49-F238E27FC236}">
              <a16:creationId xmlns:a16="http://schemas.microsoft.com/office/drawing/2014/main" id="{AB861A94-0370-4A28-B5C9-90B78B742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8320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78</xdr:row>
      <xdr:rowOff>144360</xdr:rowOff>
    </xdr:from>
    <xdr:ext cx="1294920" cy="57240"/>
    <xdr:pic>
      <xdr:nvPicPr>
        <xdr:cNvPr id="522" name="Picture 1">
          <a:extLst>
            <a:ext uri="{FF2B5EF4-FFF2-40B4-BE49-F238E27FC236}">
              <a16:creationId xmlns:a16="http://schemas.microsoft.com/office/drawing/2014/main" id="{4DFBC19F-9847-44FC-A219-095EB34F9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8320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79</xdr:row>
      <xdr:rowOff>144000</xdr:rowOff>
    </xdr:from>
    <xdr:ext cx="1294920" cy="57960"/>
    <xdr:pic>
      <xdr:nvPicPr>
        <xdr:cNvPr id="523" name="Picture 1">
          <a:extLst>
            <a:ext uri="{FF2B5EF4-FFF2-40B4-BE49-F238E27FC236}">
              <a16:creationId xmlns:a16="http://schemas.microsoft.com/office/drawing/2014/main" id="{17C53124-3DDD-4E8B-AA44-0087E0F6E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0317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79</xdr:row>
      <xdr:rowOff>144000</xdr:rowOff>
    </xdr:from>
    <xdr:ext cx="1294920" cy="57960"/>
    <xdr:pic>
      <xdr:nvPicPr>
        <xdr:cNvPr id="524" name="Picture 1">
          <a:extLst>
            <a:ext uri="{FF2B5EF4-FFF2-40B4-BE49-F238E27FC236}">
              <a16:creationId xmlns:a16="http://schemas.microsoft.com/office/drawing/2014/main" id="{0AB420B8-5024-4DDC-A453-67FFA5426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0317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80</xdr:row>
      <xdr:rowOff>144360</xdr:rowOff>
    </xdr:from>
    <xdr:ext cx="1294920" cy="57240"/>
    <xdr:pic>
      <xdr:nvPicPr>
        <xdr:cNvPr id="525" name="Picture 1">
          <a:extLst>
            <a:ext uri="{FF2B5EF4-FFF2-40B4-BE49-F238E27FC236}">
              <a16:creationId xmlns:a16="http://schemas.microsoft.com/office/drawing/2014/main" id="{47747011-6F3E-4343-9886-D20F5FD3A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2320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80</xdr:row>
      <xdr:rowOff>144360</xdr:rowOff>
    </xdr:from>
    <xdr:ext cx="1294920" cy="57240"/>
    <xdr:pic>
      <xdr:nvPicPr>
        <xdr:cNvPr id="526" name="Picture 1">
          <a:extLst>
            <a:ext uri="{FF2B5EF4-FFF2-40B4-BE49-F238E27FC236}">
              <a16:creationId xmlns:a16="http://schemas.microsoft.com/office/drawing/2014/main" id="{CB286695-F0FE-454E-B0BF-8DC20B0D8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2320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81</xdr:row>
      <xdr:rowOff>144360</xdr:rowOff>
    </xdr:from>
    <xdr:ext cx="1294920" cy="57240"/>
    <xdr:pic>
      <xdr:nvPicPr>
        <xdr:cNvPr id="527" name="Picture 1">
          <a:extLst>
            <a:ext uri="{FF2B5EF4-FFF2-40B4-BE49-F238E27FC236}">
              <a16:creationId xmlns:a16="http://schemas.microsoft.com/office/drawing/2014/main" id="{A93FFE90-B44E-403F-9138-8DF08CABC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432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81</xdr:row>
      <xdr:rowOff>144360</xdr:rowOff>
    </xdr:from>
    <xdr:ext cx="1294920" cy="57240"/>
    <xdr:pic>
      <xdr:nvPicPr>
        <xdr:cNvPr id="528" name="Picture 1">
          <a:extLst>
            <a:ext uri="{FF2B5EF4-FFF2-40B4-BE49-F238E27FC236}">
              <a16:creationId xmlns:a16="http://schemas.microsoft.com/office/drawing/2014/main" id="{DBAB06A2-1B07-438A-8B5E-CC9F25C20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432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82</xdr:row>
      <xdr:rowOff>144000</xdr:rowOff>
    </xdr:from>
    <xdr:ext cx="1294920" cy="57960"/>
    <xdr:pic>
      <xdr:nvPicPr>
        <xdr:cNvPr id="529" name="Picture 1">
          <a:extLst>
            <a:ext uri="{FF2B5EF4-FFF2-40B4-BE49-F238E27FC236}">
              <a16:creationId xmlns:a16="http://schemas.microsoft.com/office/drawing/2014/main" id="{FA41870D-E0E0-4A82-A58F-5E1D959F4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622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83</xdr:row>
      <xdr:rowOff>144360</xdr:rowOff>
    </xdr:from>
    <xdr:ext cx="1294920" cy="57240"/>
    <xdr:pic>
      <xdr:nvPicPr>
        <xdr:cNvPr id="530" name="Picture 1">
          <a:extLst>
            <a:ext uri="{FF2B5EF4-FFF2-40B4-BE49-F238E27FC236}">
              <a16:creationId xmlns:a16="http://schemas.microsoft.com/office/drawing/2014/main" id="{FAD2633B-1F31-4866-91CF-1F2BFCF74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813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83</xdr:row>
      <xdr:rowOff>144360</xdr:rowOff>
    </xdr:from>
    <xdr:ext cx="1294920" cy="57240"/>
    <xdr:pic>
      <xdr:nvPicPr>
        <xdr:cNvPr id="531" name="Picture 1">
          <a:extLst>
            <a:ext uri="{FF2B5EF4-FFF2-40B4-BE49-F238E27FC236}">
              <a16:creationId xmlns:a16="http://schemas.microsoft.com/office/drawing/2014/main" id="{F73D3882-755D-47CF-85CC-2B58530EE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813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532" name="Picture 1">
          <a:extLst>
            <a:ext uri="{FF2B5EF4-FFF2-40B4-BE49-F238E27FC236}">
              <a16:creationId xmlns:a16="http://schemas.microsoft.com/office/drawing/2014/main" id="{F590C71D-0AE2-4837-A9AF-98914E0E8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533" name="Picture 1">
          <a:extLst>
            <a:ext uri="{FF2B5EF4-FFF2-40B4-BE49-F238E27FC236}">
              <a16:creationId xmlns:a16="http://schemas.microsoft.com/office/drawing/2014/main" id="{4046A8A9-3DF2-4F45-9FA0-106D0FC74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85</xdr:row>
      <xdr:rowOff>144360</xdr:rowOff>
    </xdr:from>
    <xdr:ext cx="1294920" cy="57240"/>
    <xdr:pic>
      <xdr:nvPicPr>
        <xdr:cNvPr id="534" name="Picture 1">
          <a:extLst>
            <a:ext uri="{FF2B5EF4-FFF2-40B4-BE49-F238E27FC236}">
              <a16:creationId xmlns:a16="http://schemas.microsoft.com/office/drawing/2014/main" id="{2226D5BE-8149-4CB8-BDCE-AEF8C46D3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194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85</xdr:row>
      <xdr:rowOff>144360</xdr:rowOff>
    </xdr:from>
    <xdr:ext cx="1294920" cy="57240"/>
    <xdr:pic>
      <xdr:nvPicPr>
        <xdr:cNvPr id="535" name="Picture 1">
          <a:extLst>
            <a:ext uri="{FF2B5EF4-FFF2-40B4-BE49-F238E27FC236}">
              <a16:creationId xmlns:a16="http://schemas.microsoft.com/office/drawing/2014/main" id="{D3569590-A432-4819-A0A7-1EEA97887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194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86</xdr:row>
      <xdr:rowOff>144360</xdr:rowOff>
    </xdr:from>
    <xdr:ext cx="1294920" cy="57240"/>
    <xdr:pic>
      <xdr:nvPicPr>
        <xdr:cNvPr id="536" name="Picture 1">
          <a:extLst>
            <a:ext uri="{FF2B5EF4-FFF2-40B4-BE49-F238E27FC236}">
              <a16:creationId xmlns:a16="http://schemas.microsoft.com/office/drawing/2014/main" id="{4484F8CF-FAF2-4069-A6BF-844C90335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3846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86</xdr:row>
      <xdr:rowOff>144360</xdr:rowOff>
    </xdr:from>
    <xdr:ext cx="1294920" cy="57240"/>
    <xdr:pic>
      <xdr:nvPicPr>
        <xdr:cNvPr id="537" name="Picture 1">
          <a:extLst>
            <a:ext uri="{FF2B5EF4-FFF2-40B4-BE49-F238E27FC236}">
              <a16:creationId xmlns:a16="http://schemas.microsoft.com/office/drawing/2014/main" id="{A60322F1-7EC5-4595-9323-66C04B3FE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3846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87</xdr:row>
      <xdr:rowOff>144000</xdr:rowOff>
    </xdr:from>
    <xdr:ext cx="1294920" cy="57960"/>
    <xdr:pic>
      <xdr:nvPicPr>
        <xdr:cNvPr id="538" name="Picture 1">
          <a:extLst>
            <a:ext uri="{FF2B5EF4-FFF2-40B4-BE49-F238E27FC236}">
              <a16:creationId xmlns:a16="http://schemas.microsoft.com/office/drawing/2014/main" id="{775D0C20-CDC4-443A-AB32-4E17595B0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5747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87</xdr:row>
      <xdr:rowOff>144000</xdr:rowOff>
    </xdr:from>
    <xdr:ext cx="1294920" cy="57960"/>
    <xdr:pic>
      <xdr:nvPicPr>
        <xdr:cNvPr id="539" name="Picture 1">
          <a:extLst>
            <a:ext uri="{FF2B5EF4-FFF2-40B4-BE49-F238E27FC236}">
              <a16:creationId xmlns:a16="http://schemas.microsoft.com/office/drawing/2014/main" id="{F4D154B6-9B55-412C-BC5C-DC80B3693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5747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540" name="Picture 1">
          <a:extLst>
            <a:ext uri="{FF2B5EF4-FFF2-40B4-BE49-F238E27FC236}">
              <a16:creationId xmlns:a16="http://schemas.microsoft.com/office/drawing/2014/main" id="{3D2120B4-7659-4C82-AC46-1C287D6A0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541" name="Picture 1">
          <a:extLst>
            <a:ext uri="{FF2B5EF4-FFF2-40B4-BE49-F238E27FC236}">
              <a16:creationId xmlns:a16="http://schemas.microsoft.com/office/drawing/2014/main" id="{A6B986DF-014C-4E56-815E-7FA29FF11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542" name="Picture 1">
          <a:extLst>
            <a:ext uri="{FF2B5EF4-FFF2-40B4-BE49-F238E27FC236}">
              <a16:creationId xmlns:a16="http://schemas.microsoft.com/office/drawing/2014/main" id="{107CE4E4-3DAD-4F37-B55D-0454977F2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543" name="Picture 1">
          <a:extLst>
            <a:ext uri="{FF2B5EF4-FFF2-40B4-BE49-F238E27FC236}">
              <a16:creationId xmlns:a16="http://schemas.microsoft.com/office/drawing/2014/main" id="{4EB8D7A3-9247-4542-8F08-3C5EE7774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544" name="Picture 1">
          <a:extLst>
            <a:ext uri="{FF2B5EF4-FFF2-40B4-BE49-F238E27FC236}">
              <a16:creationId xmlns:a16="http://schemas.microsoft.com/office/drawing/2014/main" id="{ABAF6A9A-8C9F-4291-9C1D-3953C1A7F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545" name="Picture 1">
          <a:extLst>
            <a:ext uri="{FF2B5EF4-FFF2-40B4-BE49-F238E27FC236}">
              <a16:creationId xmlns:a16="http://schemas.microsoft.com/office/drawing/2014/main" id="{A3986864-FDD4-4A64-9CF8-C6C5370F1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546" name="Picture 1">
          <a:extLst>
            <a:ext uri="{FF2B5EF4-FFF2-40B4-BE49-F238E27FC236}">
              <a16:creationId xmlns:a16="http://schemas.microsoft.com/office/drawing/2014/main" id="{D2B6BBA2-42E6-4051-8BEA-149FEFCC1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547" name="Picture 1">
          <a:extLst>
            <a:ext uri="{FF2B5EF4-FFF2-40B4-BE49-F238E27FC236}">
              <a16:creationId xmlns:a16="http://schemas.microsoft.com/office/drawing/2014/main" id="{BE529E0A-9352-42E1-B7A2-93B1E734C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548" name="Picture 1">
          <a:extLst>
            <a:ext uri="{FF2B5EF4-FFF2-40B4-BE49-F238E27FC236}">
              <a16:creationId xmlns:a16="http://schemas.microsoft.com/office/drawing/2014/main" id="{7F18A579-4BEB-4E67-BDA0-7A5D5F596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549" name="Picture 1">
          <a:extLst>
            <a:ext uri="{FF2B5EF4-FFF2-40B4-BE49-F238E27FC236}">
              <a16:creationId xmlns:a16="http://schemas.microsoft.com/office/drawing/2014/main" id="{86D8DCE2-C390-4994-B04C-8E3D0E3A0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550" name="Picture 1">
          <a:extLst>
            <a:ext uri="{FF2B5EF4-FFF2-40B4-BE49-F238E27FC236}">
              <a16:creationId xmlns:a16="http://schemas.microsoft.com/office/drawing/2014/main" id="{E332A6E7-3FBC-49F4-A5C7-DD60FAD90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551" name="Picture 1">
          <a:extLst>
            <a:ext uri="{FF2B5EF4-FFF2-40B4-BE49-F238E27FC236}">
              <a16:creationId xmlns:a16="http://schemas.microsoft.com/office/drawing/2014/main" id="{B2995C07-C550-4806-9B77-66C3881BC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552" name="Picture 1">
          <a:extLst>
            <a:ext uri="{FF2B5EF4-FFF2-40B4-BE49-F238E27FC236}">
              <a16:creationId xmlns:a16="http://schemas.microsoft.com/office/drawing/2014/main" id="{ABAA27B0-67D9-47CF-B168-E3395E4E4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553" name="Picture 1">
          <a:extLst>
            <a:ext uri="{FF2B5EF4-FFF2-40B4-BE49-F238E27FC236}">
              <a16:creationId xmlns:a16="http://schemas.microsoft.com/office/drawing/2014/main" id="{8277C5BF-1F2E-47B1-A4A4-ED7EA7323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554" name="Picture 1">
          <a:extLst>
            <a:ext uri="{FF2B5EF4-FFF2-40B4-BE49-F238E27FC236}">
              <a16:creationId xmlns:a16="http://schemas.microsoft.com/office/drawing/2014/main" id="{74CF0600-D917-4632-BAE2-D31E6B0EF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555" name="Picture 1">
          <a:extLst>
            <a:ext uri="{FF2B5EF4-FFF2-40B4-BE49-F238E27FC236}">
              <a16:creationId xmlns:a16="http://schemas.microsoft.com/office/drawing/2014/main" id="{34073FE8-8AD9-41B8-9D6A-B864A6C5A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556" name="Picture 1">
          <a:extLst>
            <a:ext uri="{FF2B5EF4-FFF2-40B4-BE49-F238E27FC236}">
              <a16:creationId xmlns:a16="http://schemas.microsoft.com/office/drawing/2014/main" id="{80A0372D-53DC-43AF-885E-CAD8422FC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557" name="Picture 1">
          <a:extLst>
            <a:ext uri="{FF2B5EF4-FFF2-40B4-BE49-F238E27FC236}">
              <a16:creationId xmlns:a16="http://schemas.microsoft.com/office/drawing/2014/main" id="{B8D55415-6285-4202-B2E5-8760BBAD2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558" name="Picture 1">
          <a:extLst>
            <a:ext uri="{FF2B5EF4-FFF2-40B4-BE49-F238E27FC236}">
              <a16:creationId xmlns:a16="http://schemas.microsoft.com/office/drawing/2014/main" id="{6787740F-0BBB-45AC-ABE7-877C33382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559" name="Picture 1">
          <a:extLst>
            <a:ext uri="{FF2B5EF4-FFF2-40B4-BE49-F238E27FC236}">
              <a16:creationId xmlns:a16="http://schemas.microsoft.com/office/drawing/2014/main" id="{61A595EB-705C-4523-9378-29EE1834C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560" name="Picture 1">
          <a:extLst>
            <a:ext uri="{FF2B5EF4-FFF2-40B4-BE49-F238E27FC236}">
              <a16:creationId xmlns:a16="http://schemas.microsoft.com/office/drawing/2014/main" id="{05197EA9-D4DB-4DD9-9700-0FD9CBF24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561" name="Picture 1">
          <a:extLst>
            <a:ext uri="{FF2B5EF4-FFF2-40B4-BE49-F238E27FC236}">
              <a16:creationId xmlns:a16="http://schemas.microsoft.com/office/drawing/2014/main" id="{061991B8-1259-4FD6-85C9-BDDB5052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562" name="Picture 1">
          <a:extLst>
            <a:ext uri="{FF2B5EF4-FFF2-40B4-BE49-F238E27FC236}">
              <a16:creationId xmlns:a16="http://schemas.microsoft.com/office/drawing/2014/main" id="{618169E6-0BA0-4432-B01B-A513A84E7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563" name="Picture 1">
          <a:extLst>
            <a:ext uri="{FF2B5EF4-FFF2-40B4-BE49-F238E27FC236}">
              <a16:creationId xmlns:a16="http://schemas.microsoft.com/office/drawing/2014/main" id="{1FDE2C48-0763-4CE3-A638-A61FDC3BC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564" name="Picture 1">
          <a:extLst>
            <a:ext uri="{FF2B5EF4-FFF2-40B4-BE49-F238E27FC236}">
              <a16:creationId xmlns:a16="http://schemas.microsoft.com/office/drawing/2014/main" id="{4C8515C3-198C-454F-AB75-C44AF16A4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565" name="Picture 1">
          <a:extLst>
            <a:ext uri="{FF2B5EF4-FFF2-40B4-BE49-F238E27FC236}">
              <a16:creationId xmlns:a16="http://schemas.microsoft.com/office/drawing/2014/main" id="{BE4FA87C-09C9-4F74-BCD3-EACFCE1FE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566" name="Picture 1">
          <a:extLst>
            <a:ext uri="{FF2B5EF4-FFF2-40B4-BE49-F238E27FC236}">
              <a16:creationId xmlns:a16="http://schemas.microsoft.com/office/drawing/2014/main" id="{8A9086FB-2AAE-4A86-A604-25703DBDC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567" name="Picture 1">
          <a:extLst>
            <a:ext uri="{FF2B5EF4-FFF2-40B4-BE49-F238E27FC236}">
              <a16:creationId xmlns:a16="http://schemas.microsoft.com/office/drawing/2014/main" id="{D49100BF-2E84-4466-AC68-D0471AF11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568" name="Picture 1">
          <a:extLst>
            <a:ext uri="{FF2B5EF4-FFF2-40B4-BE49-F238E27FC236}">
              <a16:creationId xmlns:a16="http://schemas.microsoft.com/office/drawing/2014/main" id="{C9ED7CC1-2A87-4CE3-A55F-99A584F32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569" name="Picture 1">
          <a:extLst>
            <a:ext uri="{FF2B5EF4-FFF2-40B4-BE49-F238E27FC236}">
              <a16:creationId xmlns:a16="http://schemas.microsoft.com/office/drawing/2014/main" id="{7CC948F5-853E-4827-BAD2-5224720CE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570" name="Picture 1">
          <a:extLst>
            <a:ext uri="{FF2B5EF4-FFF2-40B4-BE49-F238E27FC236}">
              <a16:creationId xmlns:a16="http://schemas.microsoft.com/office/drawing/2014/main" id="{D7405D2A-CFCD-469A-B7CF-AA2797932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571" name="Picture 1">
          <a:extLst>
            <a:ext uri="{FF2B5EF4-FFF2-40B4-BE49-F238E27FC236}">
              <a16:creationId xmlns:a16="http://schemas.microsoft.com/office/drawing/2014/main" id="{814A9372-D0D9-4E51-BC96-662729D76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572" name="Picture 1">
          <a:extLst>
            <a:ext uri="{FF2B5EF4-FFF2-40B4-BE49-F238E27FC236}">
              <a16:creationId xmlns:a16="http://schemas.microsoft.com/office/drawing/2014/main" id="{51D2CCAC-58B6-40CC-81D2-D323F8E3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573" name="Picture 1">
          <a:extLst>
            <a:ext uri="{FF2B5EF4-FFF2-40B4-BE49-F238E27FC236}">
              <a16:creationId xmlns:a16="http://schemas.microsoft.com/office/drawing/2014/main" id="{8DE60CE9-E665-4D48-9F77-E0C9BE348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574" name="Picture 1">
          <a:extLst>
            <a:ext uri="{FF2B5EF4-FFF2-40B4-BE49-F238E27FC236}">
              <a16:creationId xmlns:a16="http://schemas.microsoft.com/office/drawing/2014/main" id="{DAF27BFD-8466-446C-B57B-755750F35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575" name="Picture 1">
          <a:extLst>
            <a:ext uri="{FF2B5EF4-FFF2-40B4-BE49-F238E27FC236}">
              <a16:creationId xmlns:a16="http://schemas.microsoft.com/office/drawing/2014/main" id="{392EEA7E-DDC9-41E5-BB71-7C5EAAF7E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576" name="Picture 1">
          <a:extLst>
            <a:ext uri="{FF2B5EF4-FFF2-40B4-BE49-F238E27FC236}">
              <a16:creationId xmlns:a16="http://schemas.microsoft.com/office/drawing/2014/main" id="{2E1D052E-E69C-4BF8-AF71-1839A1EAC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577" name="Picture 1">
          <a:extLst>
            <a:ext uri="{FF2B5EF4-FFF2-40B4-BE49-F238E27FC236}">
              <a16:creationId xmlns:a16="http://schemas.microsoft.com/office/drawing/2014/main" id="{8103D995-D2AD-4EA1-8F60-DB2A9DC78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578" name="Picture 1">
          <a:extLst>
            <a:ext uri="{FF2B5EF4-FFF2-40B4-BE49-F238E27FC236}">
              <a16:creationId xmlns:a16="http://schemas.microsoft.com/office/drawing/2014/main" id="{BF7B77A7-7556-4553-A7CC-8C335C7FF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579" name="Picture 1">
          <a:extLst>
            <a:ext uri="{FF2B5EF4-FFF2-40B4-BE49-F238E27FC236}">
              <a16:creationId xmlns:a16="http://schemas.microsoft.com/office/drawing/2014/main" id="{C71560E4-2607-492B-83AA-008D28C71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580" name="Picture 1">
          <a:extLst>
            <a:ext uri="{FF2B5EF4-FFF2-40B4-BE49-F238E27FC236}">
              <a16:creationId xmlns:a16="http://schemas.microsoft.com/office/drawing/2014/main" id="{E41C509D-035B-4676-82E3-EDDE23403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581" name="Picture 1">
          <a:extLst>
            <a:ext uri="{FF2B5EF4-FFF2-40B4-BE49-F238E27FC236}">
              <a16:creationId xmlns:a16="http://schemas.microsoft.com/office/drawing/2014/main" id="{F18B83C4-CE6C-4E43-BEC9-546C87D64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582" name="Picture 1">
          <a:extLst>
            <a:ext uri="{FF2B5EF4-FFF2-40B4-BE49-F238E27FC236}">
              <a16:creationId xmlns:a16="http://schemas.microsoft.com/office/drawing/2014/main" id="{9B62EBD1-BCDE-4B1E-B3B9-2619E341F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583" name="Picture 1">
          <a:extLst>
            <a:ext uri="{FF2B5EF4-FFF2-40B4-BE49-F238E27FC236}">
              <a16:creationId xmlns:a16="http://schemas.microsoft.com/office/drawing/2014/main" id="{BC7ACB83-8A33-4C9C-9571-CA9658341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584" name="Picture 1">
          <a:extLst>
            <a:ext uri="{FF2B5EF4-FFF2-40B4-BE49-F238E27FC236}">
              <a16:creationId xmlns:a16="http://schemas.microsoft.com/office/drawing/2014/main" id="{C5660714-D0F7-42B7-824F-5978AC9E0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585" name="Picture 1">
          <a:extLst>
            <a:ext uri="{FF2B5EF4-FFF2-40B4-BE49-F238E27FC236}">
              <a16:creationId xmlns:a16="http://schemas.microsoft.com/office/drawing/2014/main" id="{70B3D442-6E83-4ABF-A14A-9A10DED83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586" name="Picture 1">
          <a:extLst>
            <a:ext uri="{FF2B5EF4-FFF2-40B4-BE49-F238E27FC236}">
              <a16:creationId xmlns:a16="http://schemas.microsoft.com/office/drawing/2014/main" id="{DFCB58B5-A181-44D3-94F3-5F6866CA3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587" name="Picture 1">
          <a:extLst>
            <a:ext uri="{FF2B5EF4-FFF2-40B4-BE49-F238E27FC236}">
              <a16:creationId xmlns:a16="http://schemas.microsoft.com/office/drawing/2014/main" id="{C0DC257F-851D-4AB6-96BE-CDE582B02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588" name="Picture 1">
          <a:extLst>
            <a:ext uri="{FF2B5EF4-FFF2-40B4-BE49-F238E27FC236}">
              <a16:creationId xmlns:a16="http://schemas.microsoft.com/office/drawing/2014/main" id="{E3B54825-27DC-49A0-ABC8-C4C0070B7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589" name="Picture 1">
          <a:extLst>
            <a:ext uri="{FF2B5EF4-FFF2-40B4-BE49-F238E27FC236}">
              <a16:creationId xmlns:a16="http://schemas.microsoft.com/office/drawing/2014/main" id="{72E98738-5033-463F-90CE-0BA0188DF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590" name="Picture 1">
          <a:extLst>
            <a:ext uri="{FF2B5EF4-FFF2-40B4-BE49-F238E27FC236}">
              <a16:creationId xmlns:a16="http://schemas.microsoft.com/office/drawing/2014/main" id="{2F23D4C7-9CF8-47D5-AD8D-BBD00DDEA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591" name="Picture 1">
          <a:extLst>
            <a:ext uri="{FF2B5EF4-FFF2-40B4-BE49-F238E27FC236}">
              <a16:creationId xmlns:a16="http://schemas.microsoft.com/office/drawing/2014/main" id="{DE671C89-A365-4161-AFC3-722988960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592" name="Picture 1">
          <a:extLst>
            <a:ext uri="{FF2B5EF4-FFF2-40B4-BE49-F238E27FC236}">
              <a16:creationId xmlns:a16="http://schemas.microsoft.com/office/drawing/2014/main" id="{63AEEF64-A64C-402A-8B38-ECFA7AACD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593" name="Picture 1">
          <a:extLst>
            <a:ext uri="{FF2B5EF4-FFF2-40B4-BE49-F238E27FC236}">
              <a16:creationId xmlns:a16="http://schemas.microsoft.com/office/drawing/2014/main" id="{721664A1-DAB3-430C-A36E-93E52779C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594" name="Picture 1">
          <a:extLst>
            <a:ext uri="{FF2B5EF4-FFF2-40B4-BE49-F238E27FC236}">
              <a16:creationId xmlns:a16="http://schemas.microsoft.com/office/drawing/2014/main" id="{EE1134FD-94C9-418A-A4D1-830AC4C20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595" name="Picture 1">
          <a:extLst>
            <a:ext uri="{FF2B5EF4-FFF2-40B4-BE49-F238E27FC236}">
              <a16:creationId xmlns:a16="http://schemas.microsoft.com/office/drawing/2014/main" id="{1841843D-5CFE-499C-9CF8-6493BD1C0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596" name="Picture 1">
          <a:extLst>
            <a:ext uri="{FF2B5EF4-FFF2-40B4-BE49-F238E27FC236}">
              <a16:creationId xmlns:a16="http://schemas.microsoft.com/office/drawing/2014/main" id="{6DBC4FC6-08DB-4AEA-9A0E-78BE82352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597" name="Picture 1">
          <a:extLst>
            <a:ext uri="{FF2B5EF4-FFF2-40B4-BE49-F238E27FC236}">
              <a16:creationId xmlns:a16="http://schemas.microsoft.com/office/drawing/2014/main" id="{FD357712-1A86-4DC8-BBBA-FCE21F0E6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598" name="Picture 1">
          <a:extLst>
            <a:ext uri="{FF2B5EF4-FFF2-40B4-BE49-F238E27FC236}">
              <a16:creationId xmlns:a16="http://schemas.microsoft.com/office/drawing/2014/main" id="{F8BFD99F-9DA6-4B02-AD02-48EB3B23D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599" name="Picture 1">
          <a:extLst>
            <a:ext uri="{FF2B5EF4-FFF2-40B4-BE49-F238E27FC236}">
              <a16:creationId xmlns:a16="http://schemas.microsoft.com/office/drawing/2014/main" id="{935D0247-8113-48BA-AFFB-A9BC1A08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600" name="Picture 1">
          <a:extLst>
            <a:ext uri="{FF2B5EF4-FFF2-40B4-BE49-F238E27FC236}">
              <a16:creationId xmlns:a16="http://schemas.microsoft.com/office/drawing/2014/main" id="{1785A2A0-0168-429B-A3F9-6DD305240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601" name="Picture 1">
          <a:extLst>
            <a:ext uri="{FF2B5EF4-FFF2-40B4-BE49-F238E27FC236}">
              <a16:creationId xmlns:a16="http://schemas.microsoft.com/office/drawing/2014/main" id="{734BAF36-FD17-4200-ABF8-257AC713C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602" name="Picture 1">
          <a:extLst>
            <a:ext uri="{FF2B5EF4-FFF2-40B4-BE49-F238E27FC236}">
              <a16:creationId xmlns:a16="http://schemas.microsoft.com/office/drawing/2014/main" id="{F424536B-0B1C-4889-839C-F8B625CEB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603" name="Picture 1">
          <a:extLst>
            <a:ext uri="{FF2B5EF4-FFF2-40B4-BE49-F238E27FC236}">
              <a16:creationId xmlns:a16="http://schemas.microsoft.com/office/drawing/2014/main" id="{54EA089C-EB8E-46CF-BC81-2C503DE0F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604" name="Picture 1">
          <a:extLst>
            <a:ext uri="{FF2B5EF4-FFF2-40B4-BE49-F238E27FC236}">
              <a16:creationId xmlns:a16="http://schemas.microsoft.com/office/drawing/2014/main" id="{DDA5774A-BBDA-46E6-901B-4D46E7E84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605" name="Picture 1">
          <a:extLst>
            <a:ext uri="{FF2B5EF4-FFF2-40B4-BE49-F238E27FC236}">
              <a16:creationId xmlns:a16="http://schemas.microsoft.com/office/drawing/2014/main" id="{F3D25E9F-A07E-4E18-BEAC-CDE30C3B2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606" name="Picture 1">
          <a:extLst>
            <a:ext uri="{FF2B5EF4-FFF2-40B4-BE49-F238E27FC236}">
              <a16:creationId xmlns:a16="http://schemas.microsoft.com/office/drawing/2014/main" id="{C5B9C9CB-BB4C-4076-92CE-239A9F14F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607" name="Picture 1">
          <a:extLst>
            <a:ext uri="{FF2B5EF4-FFF2-40B4-BE49-F238E27FC236}">
              <a16:creationId xmlns:a16="http://schemas.microsoft.com/office/drawing/2014/main" id="{30FCC374-9073-400B-8F93-593D0AEC4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608" name="Picture 1">
          <a:extLst>
            <a:ext uri="{FF2B5EF4-FFF2-40B4-BE49-F238E27FC236}">
              <a16:creationId xmlns:a16="http://schemas.microsoft.com/office/drawing/2014/main" id="{C5D6B4A1-C341-4363-8548-E2223AF70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609" name="Picture 1">
          <a:extLst>
            <a:ext uri="{FF2B5EF4-FFF2-40B4-BE49-F238E27FC236}">
              <a16:creationId xmlns:a16="http://schemas.microsoft.com/office/drawing/2014/main" id="{0B680502-059F-4241-B7C4-12FBF6A98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610" name="Picture 1">
          <a:extLst>
            <a:ext uri="{FF2B5EF4-FFF2-40B4-BE49-F238E27FC236}">
              <a16:creationId xmlns:a16="http://schemas.microsoft.com/office/drawing/2014/main" id="{D955857C-1CB9-44F9-B958-6D7CDD3D4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611" name="Picture 1">
          <a:extLst>
            <a:ext uri="{FF2B5EF4-FFF2-40B4-BE49-F238E27FC236}">
              <a16:creationId xmlns:a16="http://schemas.microsoft.com/office/drawing/2014/main" id="{A7BBF1E1-158E-4B01-AF07-BEED3BF9D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612" name="Picture 1">
          <a:extLst>
            <a:ext uri="{FF2B5EF4-FFF2-40B4-BE49-F238E27FC236}">
              <a16:creationId xmlns:a16="http://schemas.microsoft.com/office/drawing/2014/main" id="{A21D3767-08A4-4496-AF08-D172627C2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613" name="Picture 1">
          <a:extLst>
            <a:ext uri="{FF2B5EF4-FFF2-40B4-BE49-F238E27FC236}">
              <a16:creationId xmlns:a16="http://schemas.microsoft.com/office/drawing/2014/main" id="{F7C881EE-C840-49E2-8DFF-0291C201E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614" name="Picture 1">
          <a:extLst>
            <a:ext uri="{FF2B5EF4-FFF2-40B4-BE49-F238E27FC236}">
              <a16:creationId xmlns:a16="http://schemas.microsoft.com/office/drawing/2014/main" id="{9F979436-2B62-4F4D-82D9-6116D18F5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615" name="Picture 1">
          <a:extLst>
            <a:ext uri="{FF2B5EF4-FFF2-40B4-BE49-F238E27FC236}">
              <a16:creationId xmlns:a16="http://schemas.microsoft.com/office/drawing/2014/main" id="{113C4D8F-B734-48C3-A0A3-960822875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616" name="Picture 1">
          <a:extLst>
            <a:ext uri="{FF2B5EF4-FFF2-40B4-BE49-F238E27FC236}">
              <a16:creationId xmlns:a16="http://schemas.microsoft.com/office/drawing/2014/main" id="{D4A2D877-59B6-4D31-B2B9-04303B072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617" name="Picture 1">
          <a:extLst>
            <a:ext uri="{FF2B5EF4-FFF2-40B4-BE49-F238E27FC236}">
              <a16:creationId xmlns:a16="http://schemas.microsoft.com/office/drawing/2014/main" id="{30DBADDE-CC7D-4FCA-8A36-B53877900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618" name="Picture 1">
          <a:extLst>
            <a:ext uri="{FF2B5EF4-FFF2-40B4-BE49-F238E27FC236}">
              <a16:creationId xmlns:a16="http://schemas.microsoft.com/office/drawing/2014/main" id="{5977853C-F111-4419-8DD3-229B679AE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619" name="Picture 1">
          <a:extLst>
            <a:ext uri="{FF2B5EF4-FFF2-40B4-BE49-F238E27FC236}">
              <a16:creationId xmlns:a16="http://schemas.microsoft.com/office/drawing/2014/main" id="{C8D6E389-E224-4D3F-8F4F-61852632E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620" name="Picture 1">
          <a:extLst>
            <a:ext uri="{FF2B5EF4-FFF2-40B4-BE49-F238E27FC236}">
              <a16:creationId xmlns:a16="http://schemas.microsoft.com/office/drawing/2014/main" id="{1A1A2502-716C-454E-AA34-3D0C00DDF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621" name="Picture 1">
          <a:extLst>
            <a:ext uri="{FF2B5EF4-FFF2-40B4-BE49-F238E27FC236}">
              <a16:creationId xmlns:a16="http://schemas.microsoft.com/office/drawing/2014/main" id="{6C63C4B0-6463-403D-A19C-F645436B9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622" name="Picture 1">
          <a:extLst>
            <a:ext uri="{FF2B5EF4-FFF2-40B4-BE49-F238E27FC236}">
              <a16:creationId xmlns:a16="http://schemas.microsoft.com/office/drawing/2014/main" id="{2265B886-0337-443C-A136-EA6FAB245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623" name="Picture 1">
          <a:extLst>
            <a:ext uri="{FF2B5EF4-FFF2-40B4-BE49-F238E27FC236}">
              <a16:creationId xmlns:a16="http://schemas.microsoft.com/office/drawing/2014/main" id="{3D690FAD-DE50-40C8-9009-0E78437B0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624" name="Picture 1">
          <a:extLst>
            <a:ext uri="{FF2B5EF4-FFF2-40B4-BE49-F238E27FC236}">
              <a16:creationId xmlns:a16="http://schemas.microsoft.com/office/drawing/2014/main" id="{3ECAF235-4371-457B-9D0C-1DFF64E58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625" name="Picture 1">
          <a:extLst>
            <a:ext uri="{FF2B5EF4-FFF2-40B4-BE49-F238E27FC236}">
              <a16:creationId xmlns:a16="http://schemas.microsoft.com/office/drawing/2014/main" id="{A9E734C5-6263-4224-B012-AE80C4C89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626" name="Picture 1">
          <a:extLst>
            <a:ext uri="{FF2B5EF4-FFF2-40B4-BE49-F238E27FC236}">
              <a16:creationId xmlns:a16="http://schemas.microsoft.com/office/drawing/2014/main" id="{DF51CBF2-2791-4C59-A020-5EFCF4447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627" name="Picture 1">
          <a:extLst>
            <a:ext uri="{FF2B5EF4-FFF2-40B4-BE49-F238E27FC236}">
              <a16:creationId xmlns:a16="http://schemas.microsoft.com/office/drawing/2014/main" id="{20645CEA-6CD2-42B8-B7E7-8D85ECB6C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628" name="Picture 1">
          <a:extLst>
            <a:ext uri="{FF2B5EF4-FFF2-40B4-BE49-F238E27FC236}">
              <a16:creationId xmlns:a16="http://schemas.microsoft.com/office/drawing/2014/main" id="{30B94BFE-8BC1-4EF1-9AAD-08C50CFAF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629" name="Picture 1">
          <a:extLst>
            <a:ext uri="{FF2B5EF4-FFF2-40B4-BE49-F238E27FC236}">
              <a16:creationId xmlns:a16="http://schemas.microsoft.com/office/drawing/2014/main" id="{8E2AC4BA-FD3B-4AAC-B0E4-6EF8F8A6A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630" name="Picture 1">
          <a:extLst>
            <a:ext uri="{FF2B5EF4-FFF2-40B4-BE49-F238E27FC236}">
              <a16:creationId xmlns:a16="http://schemas.microsoft.com/office/drawing/2014/main" id="{65CAA9DD-C0E9-45A3-9229-DF51F484B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631" name="Picture 1">
          <a:extLst>
            <a:ext uri="{FF2B5EF4-FFF2-40B4-BE49-F238E27FC236}">
              <a16:creationId xmlns:a16="http://schemas.microsoft.com/office/drawing/2014/main" id="{AE946371-B702-4B43-983A-A4E1C8421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632" name="Picture 1">
          <a:extLst>
            <a:ext uri="{FF2B5EF4-FFF2-40B4-BE49-F238E27FC236}">
              <a16:creationId xmlns:a16="http://schemas.microsoft.com/office/drawing/2014/main" id="{9DCEE764-607E-4EC8-8F69-969A64CF5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633" name="Picture 1">
          <a:extLst>
            <a:ext uri="{FF2B5EF4-FFF2-40B4-BE49-F238E27FC236}">
              <a16:creationId xmlns:a16="http://schemas.microsoft.com/office/drawing/2014/main" id="{4D2CAA5F-7EEE-44CF-96F5-27CC1C8C0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634" name="Picture 1">
          <a:extLst>
            <a:ext uri="{FF2B5EF4-FFF2-40B4-BE49-F238E27FC236}">
              <a16:creationId xmlns:a16="http://schemas.microsoft.com/office/drawing/2014/main" id="{4289D278-E444-48F8-90E6-56CD62146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635" name="Picture 1">
          <a:extLst>
            <a:ext uri="{FF2B5EF4-FFF2-40B4-BE49-F238E27FC236}">
              <a16:creationId xmlns:a16="http://schemas.microsoft.com/office/drawing/2014/main" id="{FD981463-9A28-4E28-ACBF-F6FDA36FE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636" name="Picture 1">
          <a:extLst>
            <a:ext uri="{FF2B5EF4-FFF2-40B4-BE49-F238E27FC236}">
              <a16:creationId xmlns:a16="http://schemas.microsoft.com/office/drawing/2014/main" id="{DBBFD6AF-D019-4D47-BA32-96A8FA21E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637" name="Picture 1">
          <a:extLst>
            <a:ext uri="{FF2B5EF4-FFF2-40B4-BE49-F238E27FC236}">
              <a16:creationId xmlns:a16="http://schemas.microsoft.com/office/drawing/2014/main" id="{4FE68ED3-FA44-4AC9-B0A4-EA1D7822B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638" name="Picture 1">
          <a:extLst>
            <a:ext uri="{FF2B5EF4-FFF2-40B4-BE49-F238E27FC236}">
              <a16:creationId xmlns:a16="http://schemas.microsoft.com/office/drawing/2014/main" id="{018EB64A-0D54-4651-A5A7-4CAFE1A95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639" name="Picture 1">
          <a:extLst>
            <a:ext uri="{FF2B5EF4-FFF2-40B4-BE49-F238E27FC236}">
              <a16:creationId xmlns:a16="http://schemas.microsoft.com/office/drawing/2014/main" id="{1F9A8798-C98E-4391-8FDF-518C3765F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55</xdr:row>
      <xdr:rowOff>144360</xdr:rowOff>
    </xdr:from>
    <xdr:ext cx="1294920" cy="57240"/>
    <xdr:pic>
      <xdr:nvPicPr>
        <xdr:cNvPr id="640" name="Picture 1">
          <a:extLst>
            <a:ext uri="{FF2B5EF4-FFF2-40B4-BE49-F238E27FC236}">
              <a16:creationId xmlns:a16="http://schemas.microsoft.com/office/drawing/2014/main" id="{34A5635D-9A7D-480E-B521-8B2753A61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326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55</xdr:row>
      <xdr:rowOff>144360</xdr:rowOff>
    </xdr:from>
    <xdr:ext cx="1294920" cy="57240"/>
    <xdr:pic>
      <xdr:nvPicPr>
        <xdr:cNvPr id="641" name="Picture 1">
          <a:extLst>
            <a:ext uri="{FF2B5EF4-FFF2-40B4-BE49-F238E27FC236}">
              <a16:creationId xmlns:a16="http://schemas.microsoft.com/office/drawing/2014/main" id="{6CA4E8F3-9F70-4DF0-BC50-DF5FDB7DF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326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56</xdr:row>
      <xdr:rowOff>144360</xdr:rowOff>
    </xdr:from>
    <xdr:ext cx="1294920" cy="57240"/>
    <xdr:pic>
      <xdr:nvPicPr>
        <xdr:cNvPr id="642" name="Picture 1">
          <a:extLst>
            <a:ext uri="{FF2B5EF4-FFF2-40B4-BE49-F238E27FC236}">
              <a16:creationId xmlns:a16="http://schemas.microsoft.com/office/drawing/2014/main" id="{C4206754-A101-4890-BA8E-4013E592D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517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56</xdr:row>
      <xdr:rowOff>144360</xdr:rowOff>
    </xdr:from>
    <xdr:ext cx="1294920" cy="57240"/>
    <xdr:pic>
      <xdr:nvPicPr>
        <xdr:cNvPr id="643" name="Picture 1">
          <a:extLst>
            <a:ext uri="{FF2B5EF4-FFF2-40B4-BE49-F238E27FC236}">
              <a16:creationId xmlns:a16="http://schemas.microsoft.com/office/drawing/2014/main" id="{BD0ED27A-9620-4A7B-AE92-AEBFB03FE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517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57</xdr:row>
      <xdr:rowOff>144360</xdr:rowOff>
    </xdr:from>
    <xdr:ext cx="1294920" cy="57240"/>
    <xdr:pic>
      <xdr:nvPicPr>
        <xdr:cNvPr id="644" name="Picture 1">
          <a:extLst>
            <a:ext uri="{FF2B5EF4-FFF2-40B4-BE49-F238E27FC236}">
              <a16:creationId xmlns:a16="http://schemas.microsoft.com/office/drawing/2014/main" id="{4ECEB8BE-1FA1-4850-814B-698BD5D90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707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57</xdr:row>
      <xdr:rowOff>144360</xdr:rowOff>
    </xdr:from>
    <xdr:ext cx="1294920" cy="57240"/>
    <xdr:pic>
      <xdr:nvPicPr>
        <xdr:cNvPr id="645" name="Picture 1">
          <a:extLst>
            <a:ext uri="{FF2B5EF4-FFF2-40B4-BE49-F238E27FC236}">
              <a16:creationId xmlns:a16="http://schemas.microsoft.com/office/drawing/2014/main" id="{512E5B7E-0BF1-4EC1-95F4-B95F2F7CC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707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58</xdr:row>
      <xdr:rowOff>144000</xdr:rowOff>
    </xdr:from>
    <xdr:ext cx="1294920" cy="57960"/>
    <xdr:pic>
      <xdr:nvPicPr>
        <xdr:cNvPr id="646" name="Picture 1">
          <a:extLst>
            <a:ext uri="{FF2B5EF4-FFF2-40B4-BE49-F238E27FC236}">
              <a16:creationId xmlns:a16="http://schemas.microsoft.com/office/drawing/2014/main" id="{A19E5D5D-1390-4138-970B-07EE5C135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8978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58</xdr:row>
      <xdr:rowOff>144000</xdr:rowOff>
    </xdr:from>
    <xdr:ext cx="1294920" cy="57960"/>
    <xdr:pic>
      <xdr:nvPicPr>
        <xdr:cNvPr id="647" name="Picture 1">
          <a:extLst>
            <a:ext uri="{FF2B5EF4-FFF2-40B4-BE49-F238E27FC236}">
              <a16:creationId xmlns:a16="http://schemas.microsoft.com/office/drawing/2014/main" id="{432425F8-53DB-4262-B33C-F49CE5F1B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18978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59</xdr:row>
      <xdr:rowOff>144360</xdr:rowOff>
    </xdr:from>
    <xdr:ext cx="1294920" cy="57240"/>
    <xdr:pic>
      <xdr:nvPicPr>
        <xdr:cNvPr id="648" name="Picture 1">
          <a:extLst>
            <a:ext uri="{FF2B5EF4-FFF2-40B4-BE49-F238E27FC236}">
              <a16:creationId xmlns:a16="http://schemas.microsoft.com/office/drawing/2014/main" id="{A6DC0F78-8094-4637-BB4B-9BAF52224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088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59</xdr:row>
      <xdr:rowOff>144360</xdr:rowOff>
    </xdr:from>
    <xdr:ext cx="1294920" cy="57240"/>
    <xdr:pic>
      <xdr:nvPicPr>
        <xdr:cNvPr id="649" name="Picture 1">
          <a:extLst>
            <a:ext uri="{FF2B5EF4-FFF2-40B4-BE49-F238E27FC236}">
              <a16:creationId xmlns:a16="http://schemas.microsoft.com/office/drawing/2014/main" id="{112DBC31-3F94-42F9-83B1-B5B88C1EB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088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60</xdr:row>
      <xdr:rowOff>144360</xdr:rowOff>
    </xdr:from>
    <xdr:ext cx="1294920" cy="57240"/>
    <xdr:pic>
      <xdr:nvPicPr>
        <xdr:cNvPr id="650" name="Picture 1">
          <a:extLst>
            <a:ext uri="{FF2B5EF4-FFF2-40B4-BE49-F238E27FC236}">
              <a16:creationId xmlns:a16="http://schemas.microsoft.com/office/drawing/2014/main" id="{D8A61500-B5D8-4953-A50F-037B51D30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279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60</xdr:row>
      <xdr:rowOff>144360</xdr:rowOff>
    </xdr:from>
    <xdr:ext cx="1294920" cy="57240"/>
    <xdr:pic>
      <xdr:nvPicPr>
        <xdr:cNvPr id="651" name="Picture 1">
          <a:extLst>
            <a:ext uri="{FF2B5EF4-FFF2-40B4-BE49-F238E27FC236}">
              <a16:creationId xmlns:a16="http://schemas.microsoft.com/office/drawing/2014/main" id="{9DE9DD8A-6871-4F80-A756-531D6EFB9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279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61</xdr:row>
      <xdr:rowOff>144000</xdr:rowOff>
    </xdr:from>
    <xdr:ext cx="1294920" cy="57960"/>
    <xdr:pic>
      <xdr:nvPicPr>
        <xdr:cNvPr id="652" name="Picture 1">
          <a:extLst>
            <a:ext uri="{FF2B5EF4-FFF2-40B4-BE49-F238E27FC236}">
              <a16:creationId xmlns:a16="http://schemas.microsoft.com/office/drawing/2014/main" id="{3E1380BB-8B83-48FA-9191-324B02433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469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61</xdr:row>
      <xdr:rowOff>144000</xdr:rowOff>
    </xdr:from>
    <xdr:ext cx="1294920" cy="57960"/>
    <xdr:pic>
      <xdr:nvPicPr>
        <xdr:cNvPr id="653" name="Picture 1">
          <a:extLst>
            <a:ext uri="{FF2B5EF4-FFF2-40B4-BE49-F238E27FC236}">
              <a16:creationId xmlns:a16="http://schemas.microsoft.com/office/drawing/2014/main" id="{8D331848-D38E-4409-AB3F-8A2FD002B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469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62</xdr:row>
      <xdr:rowOff>144360</xdr:rowOff>
    </xdr:from>
    <xdr:ext cx="1294920" cy="57240"/>
    <xdr:pic>
      <xdr:nvPicPr>
        <xdr:cNvPr id="654" name="Picture 1">
          <a:extLst>
            <a:ext uri="{FF2B5EF4-FFF2-40B4-BE49-F238E27FC236}">
              <a16:creationId xmlns:a16="http://schemas.microsoft.com/office/drawing/2014/main" id="{5D25EE19-7874-4852-B3C0-E3532FF3A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660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62</xdr:row>
      <xdr:rowOff>144360</xdr:rowOff>
    </xdr:from>
    <xdr:ext cx="1294920" cy="57240"/>
    <xdr:pic>
      <xdr:nvPicPr>
        <xdr:cNvPr id="655" name="Picture 1">
          <a:extLst>
            <a:ext uri="{FF2B5EF4-FFF2-40B4-BE49-F238E27FC236}">
              <a16:creationId xmlns:a16="http://schemas.microsoft.com/office/drawing/2014/main" id="{D1D6979E-B2C6-436F-B03D-F9B58D1F3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660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63</xdr:row>
      <xdr:rowOff>144000</xdr:rowOff>
    </xdr:from>
    <xdr:ext cx="1294920" cy="57960"/>
    <xdr:pic>
      <xdr:nvPicPr>
        <xdr:cNvPr id="656" name="Picture 1">
          <a:extLst>
            <a:ext uri="{FF2B5EF4-FFF2-40B4-BE49-F238E27FC236}">
              <a16:creationId xmlns:a16="http://schemas.microsoft.com/office/drawing/2014/main" id="{D4D4FFB7-1EA1-4437-B132-AC282AAEB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850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63</xdr:row>
      <xdr:rowOff>144000</xdr:rowOff>
    </xdr:from>
    <xdr:ext cx="1294920" cy="57960"/>
    <xdr:pic>
      <xdr:nvPicPr>
        <xdr:cNvPr id="657" name="Picture 1">
          <a:extLst>
            <a:ext uri="{FF2B5EF4-FFF2-40B4-BE49-F238E27FC236}">
              <a16:creationId xmlns:a16="http://schemas.microsoft.com/office/drawing/2014/main" id="{78022A68-C716-48FA-BAF8-4C8EF8BAF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28503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64</xdr:row>
      <xdr:rowOff>144360</xdr:rowOff>
    </xdr:from>
    <xdr:ext cx="1294920" cy="57240"/>
    <xdr:pic>
      <xdr:nvPicPr>
        <xdr:cNvPr id="658" name="Picture 1">
          <a:extLst>
            <a:ext uri="{FF2B5EF4-FFF2-40B4-BE49-F238E27FC236}">
              <a16:creationId xmlns:a16="http://schemas.microsoft.com/office/drawing/2014/main" id="{92C15BD4-40FB-4914-BB85-C31ADC66F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041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64</xdr:row>
      <xdr:rowOff>144360</xdr:rowOff>
    </xdr:from>
    <xdr:ext cx="1294920" cy="57240"/>
    <xdr:pic>
      <xdr:nvPicPr>
        <xdr:cNvPr id="659" name="Picture 1">
          <a:extLst>
            <a:ext uri="{FF2B5EF4-FFF2-40B4-BE49-F238E27FC236}">
              <a16:creationId xmlns:a16="http://schemas.microsoft.com/office/drawing/2014/main" id="{DA41E322-D89D-41BF-A037-799B3C8B4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0412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65</xdr:row>
      <xdr:rowOff>144360</xdr:rowOff>
    </xdr:from>
    <xdr:ext cx="1294920" cy="57240"/>
    <xdr:pic>
      <xdr:nvPicPr>
        <xdr:cNvPr id="660" name="Picture 1">
          <a:extLst>
            <a:ext uri="{FF2B5EF4-FFF2-40B4-BE49-F238E27FC236}">
              <a16:creationId xmlns:a16="http://schemas.microsoft.com/office/drawing/2014/main" id="{3AFCADF5-E127-4CA4-9A6F-6E3DA1099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231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65</xdr:row>
      <xdr:rowOff>144360</xdr:rowOff>
    </xdr:from>
    <xdr:ext cx="1294920" cy="57240"/>
    <xdr:pic>
      <xdr:nvPicPr>
        <xdr:cNvPr id="661" name="Picture 1">
          <a:extLst>
            <a:ext uri="{FF2B5EF4-FFF2-40B4-BE49-F238E27FC236}">
              <a16:creationId xmlns:a16="http://schemas.microsoft.com/office/drawing/2014/main" id="{F3FB86A5-3EE9-4EA7-9C74-7EE85692B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2317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66</xdr:row>
      <xdr:rowOff>144000</xdr:rowOff>
    </xdr:from>
    <xdr:ext cx="1294920" cy="57960"/>
    <xdr:pic>
      <xdr:nvPicPr>
        <xdr:cNvPr id="662" name="Picture 1">
          <a:extLst>
            <a:ext uri="{FF2B5EF4-FFF2-40B4-BE49-F238E27FC236}">
              <a16:creationId xmlns:a16="http://schemas.microsoft.com/office/drawing/2014/main" id="{A33A2068-7098-420A-AD05-6FAE97567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4313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66</xdr:row>
      <xdr:rowOff>144000</xdr:rowOff>
    </xdr:from>
    <xdr:ext cx="1294920" cy="57960"/>
    <xdr:pic>
      <xdr:nvPicPr>
        <xdr:cNvPr id="663" name="Picture 1">
          <a:extLst>
            <a:ext uri="{FF2B5EF4-FFF2-40B4-BE49-F238E27FC236}">
              <a16:creationId xmlns:a16="http://schemas.microsoft.com/office/drawing/2014/main" id="{E2589C5F-D79C-41A0-8D73-B6E39E855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4313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67</xdr:row>
      <xdr:rowOff>144360</xdr:rowOff>
    </xdr:from>
    <xdr:ext cx="1294920" cy="57240"/>
    <xdr:pic>
      <xdr:nvPicPr>
        <xdr:cNvPr id="664" name="Picture 1">
          <a:extLst>
            <a:ext uri="{FF2B5EF4-FFF2-40B4-BE49-F238E27FC236}">
              <a16:creationId xmlns:a16="http://schemas.microsoft.com/office/drawing/2014/main" id="{B1A6437C-52CF-46BC-ACB0-A8B67924D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63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67</xdr:row>
      <xdr:rowOff>144360</xdr:rowOff>
    </xdr:from>
    <xdr:ext cx="1294920" cy="57240"/>
    <xdr:pic>
      <xdr:nvPicPr>
        <xdr:cNvPr id="665" name="Picture 1">
          <a:extLst>
            <a:ext uri="{FF2B5EF4-FFF2-40B4-BE49-F238E27FC236}">
              <a16:creationId xmlns:a16="http://schemas.microsoft.com/office/drawing/2014/main" id="{0AEA10CA-64C3-453C-958A-FABB4FF5B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6317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68</xdr:row>
      <xdr:rowOff>144360</xdr:rowOff>
    </xdr:from>
    <xdr:ext cx="1294920" cy="57240"/>
    <xdr:pic>
      <xdr:nvPicPr>
        <xdr:cNvPr id="666" name="Picture 1">
          <a:extLst>
            <a:ext uri="{FF2B5EF4-FFF2-40B4-BE49-F238E27FC236}">
              <a16:creationId xmlns:a16="http://schemas.microsoft.com/office/drawing/2014/main" id="{A3BFF245-F0FB-49FC-A17A-6B42165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8317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68</xdr:row>
      <xdr:rowOff>144360</xdr:rowOff>
    </xdr:from>
    <xdr:ext cx="1294920" cy="57240"/>
    <xdr:pic>
      <xdr:nvPicPr>
        <xdr:cNvPr id="667" name="Picture 1">
          <a:extLst>
            <a:ext uri="{FF2B5EF4-FFF2-40B4-BE49-F238E27FC236}">
              <a16:creationId xmlns:a16="http://schemas.microsoft.com/office/drawing/2014/main" id="{71E3867E-4EFC-4C4B-9255-9A8EF27F4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38317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69</xdr:row>
      <xdr:rowOff>144000</xdr:rowOff>
    </xdr:from>
    <xdr:ext cx="1294920" cy="57240"/>
    <xdr:pic>
      <xdr:nvPicPr>
        <xdr:cNvPr id="668" name="Picture 1">
          <a:extLst>
            <a:ext uri="{FF2B5EF4-FFF2-40B4-BE49-F238E27FC236}">
              <a16:creationId xmlns:a16="http://schemas.microsoft.com/office/drawing/2014/main" id="{75BF0EDA-C446-419B-9CF9-344EB5059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03145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69</xdr:row>
      <xdr:rowOff>144000</xdr:rowOff>
    </xdr:from>
    <xdr:ext cx="1294920" cy="57240"/>
    <xdr:pic>
      <xdr:nvPicPr>
        <xdr:cNvPr id="669" name="Picture 1">
          <a:extLst>
            <a:ext uri="{FF2B5EF4-FFF2-40B4-BE49-F238E27FC236}">
              <a16:creationId xmlns:a16="http://schemas.microsoft.com/office/drawing/2014/main" id="{D2511B54-02F4-4759-99A0-2D42F8C6B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03145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294920" cy="57240"/>
    <xdr:pic>
      <xdr:nvPicPr>
        <xdr:cNvPr id="670" name="Picture 1">
          <a:extLst>
            <a:ext uri="{FF2B5EF4-FFF2-40B4-BE49-F238E27FC236}">
              <a16:creationId xmlns:a16="http://schemas.microsoft.com/office/drawing/2014/main" id="{6323DEBE-BBBC-4EB9-887F-56402E406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70</xdr:row>
      <xdr:rowOff>144360</xdr:rowOff>
    </xdr:from>
    <xdr:ext cx="1294920" cy="57240"/>
    <xdr:pic>
      <xdr:nvPicPr>
        <xdr:cNvPr id="671" name="Picture 1">
          <a:extLst>
            <a:ext uri="{FF2B5EF4-FFF2-40B4-BE49-F238E27FC236}">
              <a16:creationId xmlns:a16="http://schemas.microsoft.com/office/drawing/2014/main" id="{45E2860C-DA31-4F98-B6AB-A2B908EC6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231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294920" cy="57960"/>
    <xdr:pic>
      <xdr:nvPicPr>
        <xdr:cNvPr id="672" name="Picture 1">
          <a:extLst>
            <a:ext uri="{FF2B5EF4-FFF2-40B4-BE49-F238E27FC236}">
              <a16:creationId xmlns:a16="http://schemas.microsoft.com/office/drawing/2014/main" id="{CD6D8069-9815-404B-A4FD-3C01B9D91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71</xdr:row>
      <xdr:rowOff>144000</xdr:rowOff>
    </xdr:from>
    <xdr:ext cx="1294920" cy="57960"/>
    <xdr:pic>
      <xdr:nvPicPr>
        <xdr:cNvPr id="673" name="Picture 1">
          <a:extLst>
            <a:ext uri="{FF2B5EF4-FFF2-40B4-BE49-F238E27FC236}">
              <a16:creationId xmlns:a16="http://schemas.microsoft.com/office/drawing/2014/main" id="{D71B69FB-9A20-4137-B3CF-0FB7814D8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4315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72</xdr:row>
      <xdr:rowOff>144360</xdr:rowOff>
    </xdr:from>
    <xdr:ext cx="1294920" cy="57240"/>
    <xdr:pic>
      <xdr:nvPicPr>
        <xdr:cNvPr id="674" name="Picture 1">
          <a:extLst>
            <a:ext uri="{FF2B5EF4-FFF2-40B4-BE49-F238E27FC236}">
              <a16:creationId xmlns:a16="http://schemas.microsoft.com/office/drawing/2014/main" id="{04323D17-EC1A-4DD5-9B39-122B16609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6318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73</xdr:row>
      <xdr:rowOff>144360</xdr:rowOff>
    </xdr:from>
    <xdr:ext cx="1294920" cy="57240"/>
    <xdr:pic>
      <xdr:nvPicPr>
        <xdr:cNvPr id="675" name="Picture 1">
          <a:extLst>
            <a:ext uri="{FF2B5EF4-FFF2-40B4-BE49-F238E27FC236}">
              <a16:creationId xmlns:a16="http://schemas.microsoft.com/office/drawing/2014/main" id="{75ECE5EF-B830-4C6B-A546-8552B9B6B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8319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73</xdr:row>
      <xdr:rowOff>144360</xdr:rowOff>
    </xdr:from>
    <xdr:ext cx="1294920" cy="57240"/>
    <xdr:pic>
      <xdr:nvPicPr>
        <xdr:cNvPr id="676" name="Picture 1">
          <a:extLst>
            <a:ext uri="{FF2B5EF4-FFF2-40B4-BE49-F238E27FC236}">
              <a16:creationId xmlns:a16="http://schemas.microsoft.com/office/drawing/2014/main" id="{5F0B0BAD-85C5-425A-BB47-173FB1BCF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48319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74</xdr:row>
      <xdr:rowOff>144000</xdr:rowOff>
    </xdr:from>
    <xdr:ext cx="1294920" cy="57960"/>
    <xdr:pic>
      <xdr:nvPicPr>
        <xdr:cNvPr id="677" name="Picture 1">
          <a:extLst>
            <a:ext uri="{FF2B5EF4-FFF2-40B4-BE49-F238E27FC236}">
              <a16:creationId xmlns:a16="http://schemas.microsoft.com/office/drawing/2014/main" id="{E9F91317-A1F5-4CC1-AC1A-346D4CE3B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0315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74</xdr:row>
      <xdr:rowOff>144000</xdr:rowOff>
    </xdr:from>
    <xdr:ext cx="1294920" cy="57960"/>
    <xdr:pic>
      <xdr:nvPicPr>
        <xdr:cNvPr id="678" name="Picture 1">
          <a:extLst>
            <a:ext uri="{FF2B5EF4-FFF2-40B4-BE49-F238E27FC236}">
              <a16:creationId xmlns:a16="http://schemas.microsoft.com/office/drawing/2014/main" id="{CD0C5023-B7EC-4EAD-BF5A-A6A8A02FE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0315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75</xdr:row>
      <xdr:rowOff>144360</xdr:rowOff>
    </xdr:from>
    <xdr:ext cx="1294920" cy="57240"/>
    <xdr:pic>
      <xdr:nvPicPr>
        <xdr:cNvPr id="679" name="Picture 1">
          <a:extLst>
            <a:ext uri="{FF2B5EF4-FFF2-40B4-BE49-F238E27FC236}">
              <a16:creationId xmlns:a16="http://schemas.microsoft.com/office/drawing/2014/main" id="{52BB114B-A346-4271-9AED-CCC75946E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2319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75</xdr:row>
      <xdr:rowOff>144360</xdr:rowOff>
    </xdr:from>
    <xdr:ext cx="1294920" cy="57240"/>
    <xdr:pic>
      <xdr:nvPicPr>
        <xdr:cNvPr id="680" name="Picture 1">
          <a:extLst>
            <a:ext uri="{FF2B5EF4-FFF2-40B4-BE49-F238E27FC236}">
              <a16:creationId xmlns:a16="http://schemas.microsoft.com/office/drawing/2014/main" id="{352B5763-222A-45DD-9976-3F0CC39C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23196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76</xdr:row>
      <xdr:rowOff>144000</xdr:rowOff>
    </xdr:from>
    <xdr:ext cx="1294920" cy="57960"/>
    <xdr:pic>
      <xdr:nvPicPr>
        <xdr:cNvPr id="681" name="Picture 1">
          <a:extLst>
            <a:ext uri="{FF2B5EF4-FFF2-40B4-BE49-F238E27FC236}">
              <a16:creationId xmlns:a16="http://schemas.microsoft.com/office/drawing/2014/main" id="{3069436C-7400-46C0-8DC4-D8341A3DC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4316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76</xdr:row>
      <xdr:rowOff>144000</xdr:rowOff>
    </xdr:from>
    <xdr:ext cx="1294920" cy="57960"/>
    <xdr:pic>
      <xdr:nvPicPr>
        <xdr:cNvPr id="682" name="Picture 1">
          <a:extLst>
            <a:ext uri="{FF2B5EF4-FFF2-40B4-BE49-F238E27FC236}">
              <a16:creationId xmlns:a16="http://schemas.microsoft.com/office/drawing/2014/main" id="{E82DBDC3-6159-4784-9396-9E36927BB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4316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77</xdr:row>
      <xdr:rowOff>144360</xdr:rowOff>
    </xdr:from>
    <xdr:ext cx="1294920" cy="57240"/>
    <xdr:pic>
      <xdr:nvPicPr>
        <xdr:cNvPr id="683" name="Picture 1">
          <a:extLst>
            <a:ext uri="{FF2B5EF4-FFF2-40B4-BE49-F238E27FC236}">
              <a16:creationId xmlns:a16="http://schemas.microsoft.com/office/drawing/2014/main" id="{A53B42F9-26BF-4B01-A530-BE42407CF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6320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77</xdr:row>
      <xdr:rowOff>144360</xdr:rowOff>
    </xdr:from>
    <xdr:ext cx="1294920" cy="57240"/>
    <xdr:pic>
      <xdr:nvPicPr>
        <xdr:cNvPr id="684" name="Picture 1">
          <a:extLst>
            <a:ext uri="{FF2B5EF4-FFF2-40B4-BE49-F238E27FC236}">
              <a16:creationId xmlns:a16="http://schemas.microsoft.com/office/drawing/2014/main" id="{DF02397D-2009-4653-982B-29F101352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6320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78</xdr:row>
      <xdr:rowOff>144360</xdr:rowOff>
    </xdr:from>
    <xdr:ext cx="1294920" cy="57240"/>
    <xdr:pic>
      <xdr:nvPicPr>
        <xdr:cNvPr id="685" name="Picture 1">
          <a:extLst>
            <a:ext uri="{FF2B5EF4-FFF2-40B4-BE49-F238E27FC236}">
              <a16:creationId xmlns:a16="http://schemas.microsoft.com/office/drawing/2014/main" id="{E55CA583-F63F-4C16-8ED8-40216DF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8320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78</xdr:row>
      <xdr:rowOff>144360</xdr:rowOff>
    </xdr:from>
    <xdr:ext cx="1294920" cy="57240"/>
    <xdr:pic>
      <xdr:nvPicPr>
        <xdr:cNvPr id="686" name="Picture 1">
          <a:extLst>
            <a:ext uri="{FF2B5EF4-FFF2-40B4-BE49-F238E27FC236}">
              <a16:creationId xmlns:a16="http://schemas.microsoft.com/office/drawing/2014/main" id="{8661E523-8884-4FE3-BF37-329AB9743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58320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79</xdr:row>
      <xdr:rowOff>144000</xdr:rowOff>
    </xdr:from>
    <xdr:ext cx="1294920" cy="57960"/>
    <xdr:pic>
      <xdr:nvPicPr>
        <xdr:cNvPr id="687" name="Picture 1">
          <a:extLst>
            <a:ext uri="{FF2B5EF4-FFF2-40B4-BE49-F238E27FC236}">
              <a16:creationId xmlns:a16="http://schemas.microsoft.com/office/drawing/2014/main" id="{B6003541-A6EB-4AD7-97E7-8A028DD26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0317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79</xdr:row>
      <xdr:rowOff>144000</xdr:rowOff>
    </xdr:from>
    <xdr:ext cx="1294920" cy="57960"/>
    <xdr:pic>
      <xdr:nvPicPr>
        <xdr:cNvPr id="688" name="Picture 1">
          <a:extLst>
            <a:ext uri="{FF2B5EF4-FFF2-40B4-BE49-F238E27FC236}">
              <a16:creationId xmlns:a16="http://schemas.microsoft.com/office/drawing/2014/main" id="{A8FFEE6E-CA27-49D7-A11F-131F46CE9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03170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80</xdr:row>
      <xdr:rowOff>144360</xdr:rowOff>
    </xdr:from>
    <xdr:ext cx="1294920" cy="57240"/>
    <xdr:pic>
      <xdr:nvPicPr>
        <xdr:cNvPr id="689" name="Picture 1">
          <a:extLst>
            <a:ext uri="{FF2B5EF4-FFF2-40B4-BE49-F238E27FC236}">
              <a16:creationId xmlns:a16="http://schemas.microsoft.com/office/drawing/2014/main" id="{5E524394-F0BD-4A07-963F-98E15CB97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2320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80</xdr:row>
      <xdr:rowOff>144360</xdr:rowOff>
    </xdr:from>
    <xdr:ext cx="1294920" cy="57240"/>
    <xdr:pic>
      <xdr:nvPicPr>
        <xdr:cNvPr id="690" name="Picture 1">
          <a:extLst>
            <a:ext uri="{FF2B5EF4-FFF2-40B4-BE49-F238E27FC236}">
              <a16:creationId xmlns:a16="http://schemas.microsoft.com/office/drawing/2014/main" id="{ECAEBAB8-6853-4C2E-BF2A-2D34EC031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23208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81</xdr:row>
      <xdr:rowOff>144360</xdr:rowOff>
    </xdr:from>
    <xdr:ext cx="1294920" cy="57240"/>
    <xdr:pic>
      <xdr:nvPicPr>
        <xdr:cNvPr id="691" name="Picture 1">
          <a:extLst>
            <a:ext uri="{FF2B5EF4-FFF2-40B4-BE49-F238E27FC236}">
              <a16:creationId xmlns:a16="http://schemas.microsoft.com/office/drawing/2014/main" id="{A9AA589C-F6B1-4764-B5A9-44753DFE7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432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81</xdr:row>
      <xdr:rowOff>144360</xdr:rowOff>
    </xdr:from>
    <xdr:ext cx="1294920" cy="57240"/>
    <xdr:pic>
      <xdr:nvPicPr>
        <xdr:cNvPr id="692" name="Picture 1">
          <a:extLst>
            <a:ext uri="{FF2B5EF4-FFF2-40B4-BE49-F238E27FC236}">
              <a16:creationId xmlns:a16="http://schemas.microsoft.com/office/drawing/2014/main" id="{F27B04B6-802A-4560-86F7-2D74F11F1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432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82</xdr:row>
      <xdr:rowOff>144000</xdr:rowOff>
    </xdr:from>
    <xdr:ext cx="1294920" cy="57960"/>
    <xdr:pic>
      <xdr:nvPicPr>
        <xdr:cNvPr id="693" name="Picture 1">
          <a:extLst>
            <a:ext uri="{FF2B5EF4-FFF2-40B4-BE49-F238E27FC236}">
              <a16:creationId xmlns:a16="http://schemas.microsoft.com/office/drawing/2014/main" id="{275F6D9A-2385-4B0C-8834-BC0EA7C27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622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82</xdr:row>
      <xdr:rowOff>144000</xdr:rowOff>
    </xdr:from>
    <xdr:ext cx="1294920" cy="57960"/>
    <xdr:pic>
      <xdr:nvPicPr>
        <xdr:cNvPr id="694" name="Picture 1">
          <a:extLst>
            <a:ext uri="{FF2B5EF4-FFF2-40B4-BE49-F238E27FC236}">
              <a16:creationId xmlns:a16="http://schemas.microsoft.com/office/drawing/2014/main" id="{484071C8-13A1-401C-92F0-F6716858F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622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83</xdr:row>
      <xdr:rowOff>144360</xdr:rowOff>
    </xdr:from>
    <xdr:ext cx="1294920" cy="57240"/>
    <xdr:pic>
      <xdr:nvPicPr>
        <xdr:cNvPr id="695" name="Picture 1">
          <a:extLst>
            <a:ext uri="{FF2B5EF4-FFF2-40B4-BE49-F238E27FC236}">
              <a16:creationId xmlns:a16="http://schemas.microsoft.com/office/drawing/2014/main" id="{B7812889-C299-46AD-BB25-F6BCA10FA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813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83</xdr:row>
      <xdr:rowOff>144360</xdr:rowOff>
    </xdr:from>
    <xdr:ext cx="1294920" cy="57240"/>
    <xdr:pic>
      <xdr:nvPicPr>
        <xdr:cNvPr id="696" name="Picture 1">
          <a:extLst>
            <a:ext uri="{FF2B5EF4-FFF2-40B4-BE49-F238E27FC236}">
              <a16:creationId xmlns:a16="http://schemas.microsoft.com/office/drawing/2014/main" id="{E665CCD1-BF1C-4FFB-8849-22AD3C195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6813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84</xdr:row>
      <xdr:rowOff>144000</xdr:rowOff>
    </xdr:from>
    <xdr:ext cx="1294920" cy="57960"/>
    <xdr:pic>
      <xdr:nvPicPr>
        <xdr:cNvPr id="697" name="Picture 1">
          <a:extLst>
            <a:ext uri="{FF2B5EF4-FFF2-40B4-BE49-F238E27FC236}">
              <a16:creationId xmlns:a16="http://schemas.microsoft.com/office/drawing/2014/main" id="{61D585C0-8165-4C19-8D4B-045CF1787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0032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85</xdr:row>
      <xdr:rowOff>144360</xdr:rowOff>
    </xdr:from>
    <xdr:ext cx="1294920" cy="57240"/>
    <xdr:pic>
      <xdr:nvPicPr>
        <xdr:cNvPr id="698" name="Picture 1">
          <a:extLst>
            <a:ext uri="{FF2B5EF4-FFF2-40B4-BE49-F238E27FC236}">
              <a16:creationId xmlns:a16="http://schemas.microsoft.com/office/drawing/2014/main" id="{DB04B11A-DF55-40F8-90B0-AC6548F78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194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85</xdr:row>
      <xdr:rowOff>144360</xdr:rowOff>
    </xdr:from>
    <xdr:ext cx="1294920" cy="57240"/>
    <xdr:pic>
      <xdr:nvPicPr>
        <xdr:cNvPr id="699" name="Picture 1">
          <a:extLst>
            <a:ext uri="{FF2B5EF4-FFF2-40B4-BE49-F238E27FC236}">
              <a16:creationId xmlns:a16="http://schemas.microsoft.com/office/drawing/2014/main" id="{9AA7DA4D-3F0C-4FE0-82C2-85E78600A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1941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86</xdr:row>
      <xdr:rowOff>144360</xdr:rowOff>
    </xdr:from>
    <xdr:ext cx="1294920" cy="57240"/>
    <xdr:pic>
      <xdr:nvPicPr>
        <xdr:cNvPr id="700" name="Picture 1">
          <a:extLst>
            <a:ext uri="{FF2B5EF4-FFF2-40B4-BE49-F238E27FC236}">
              <a16:creationId xmlns:a16="http://schemas.microsoft.com/office/drawing/2014/main" id="{553E73F8-6834-41BC-924F-A1B5A5D4B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3846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86</xdr:row>
      <xdr:rowOff>144360</xdr:rowOff>
    </xdr:from>
    <xdr:ext cx="1294920" cy="57240"/>
    <xdr:pic>
      <xdr:nvPicPr>
        <xdr:cNvPr id="701" name="Picture 1">
          <a:extLst>
            <a:ext uri="{FF2B5EF4-FFF2-40B4-BE49-F238E27FC236}">
              <a16:creationId xmlns:a16="http://schemas.microsoft.com/office/drawing/2014/main" id="{0B68830D-E274-43EC-95CF-70636FF15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3846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87</xdr:row>
      <xdr:rowOff>144000</xdr:rowOff>
    </xdr:from>
    <xdr:ext cx="1294920" cy="57960"/>
    <xdr:pic>
      <xdr:nvPicPr>
        <xdr:cNvPr id="702" name="Picture 1">
          <a:extLst>
            <a:ext uri="{FF2B5EF4-FFF2-40B4-BE49-F238E27FC236}">
              <a16:creationId xmlns:a16="http://schemas.microsoft.com/office/drawing/2014/main" id="{19148FDC-F32D-44C6-A2F3-38FE4611D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5747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87</xdr:row>
      <xdr:rowOff>144000</xdr:rowOff>
    </xdr:from>
    <xdr:ext cx="1294920" cy="57960"/>
    <xdr:pic>
      <xdr:nvPicPr>
        <xdr:cNvPr id="703" name="Picture 1">
          <a:extLst>
            <a:ext uri="{FF2B5EF4-FFF2-40B4-BE49-F238E27FC236}">
              <a16:creationId xmlns:a16="http://schemas.microsoft.com/office/drawing/2014/main" id="{42489FD8-7799-4727-B32D-8B8AC9457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75747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704" name="Picture 1">
          <a:extLst>
            <a:ext uri="{FF2B5EF4-FFF2-40B4-BE49-F238E27FC236}">
              <a16:creationId xmlns:a16="http://schemas.microsoft.com/office/drawing/2014/main" id="{6FB5F5A9-22C2-4093-BC65-2D6C2A6AC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705" name="Picture 1">
          <a:extLst>
            <a:ext uri="{FF2B5EF4-FFF2-40B4-BE49-F238E27FC236}">
              <a16:creationId xmlns:a16="http://schemas.microsoft.com/office/drawing/2014/main" id="{E3AEA555-7E76-48A9-82A8-AD169271B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706" name="Picture 1">
          <a:extLst>
            <a:ext uri="{FF2B5EF4-FFF2-40B4-BE49-F238E27FC236}">
              <a16:creationId xmlns:a16="http://schemas.microsoft.com/office/drawing/2014/main" id="{CAF30E9B-5149-48B1-9640-DA345BD8C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707" name="Picture 1">
          <a:extLst>
            <a:ext uri="{FF2B5EF4-FFF2-40B4-BE49-F238E27FC236}">
              <a16:creationId xmlns:a16="http://schemas.microsoft.com/office/drawing/2014/main" id="{6EC8F118-F155-498E-B632-6DEE645A9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708" name="Picture 1">
          <a:extLst>
            <a:ext uri="{FF2B5EF4-FFF2-40B4-BE49-F238E27FC236}">
              <a16:creationId xmlns:a16="http://schemas.microsoft.com/office/drawing/2014/main" id="{124EA2DF-8FED-4C04-A83E-8A1FB78AF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709" name="Picture 1">
          <a:extLst>
            <a:ext uri="{FF2B5EF4-FFF2-40B4-BE49-F238E27FC236}">
              <a16:creationId xmlns:a16="http://schemas.microsoft.com/office/drawing/2014/main" id="{51735333-7FF7-4B56-A7D2-943978707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710" name="Picture 1">
          <a:extLst>
            <a:ext uri="{FF2B5EF4-FFF2-40B4-BE49-F238E27FC236}">
              <a16:creationId xmlns:a16="http://schemas.microsoft.com/office/drawing/2014/main" id="{8B628076-443A-4DB4-BA74-7E043D705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711" name="Picture 1">
          <a:extLst>
            <a:ext uri="{FF2B5EF4-FFF2-40B4-BE49-F238E27FC236}">
              <a16:creationId xmlns:a16="http://schemas.microsoft.com/office/drawing/2014/main" id="{959B915C-6BC9-40D6-BDFE-B44A95500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97</xdr:row>
      <xdr:rowOff>144000</xdr:rowOff>
    </xdr:from>
    <xdr:ext cx="1294920" cy="57960"/>
    <xdr:pic>
      <xdr:nvPicPr>
        <xdr:cNvPr id="712" name="Picture 1">
          <a:extLst>
            <a:ext uri="{FF2B5EF4-FFF2-40B4-BE49-F238E27FC236}">
              <a16:creationId xmlns:a16="http://schemas.microsoft.com/office/drawing/2014/main" id="{1F855EDB-FA94-46F3-9343-358A1C58E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47022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713" name="Picture 1">
          <a:extLst>
            <a:ext uri="{FF2B5EF4-FFF2-40B4-BE49-F238E27FC236}">
              <a16:creationId xmlns:a16="http://schemas.microsoft.com/office/drawing/2014/main" id="{BDABADB0-D017-4C75-8B1A-7262C9890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714" name="Picture 1">
          <a:extLst>
            <a:ext uri="{FF2B5EF4-FFF2-40B4-BE49-F238E27FC236}">
              <a16:creationId xmlns:a16="http://schemas.microsoft.com/office/drawing/2014/main" id="{746CF177-CB3F-4E9D-B2E2-EDB28B468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715" name="Picture 1">
          <a:extLst>
            <a:ext uri="{FF2B5EF4-FFF2-40B4-BE49-F238E27FC236}">
              <a16:creationId xmlns:a16="http://schemas.microsoft.com/office/drawing/2014/main" id="{7367F847-A9AE-4DEF-BEAD-C66D89629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716" name="Picture 1">
          <a:extLst>
            <a:ext uri="{FF2B5EF4-FFF2-40B4-BE49-F238E27FC236}">
              <a16:creationId xmlns:a16="http://schemas.microsoft.com/office/drawing/2014/main" id="{E333DDD8-0CD3-424B-AFDA-C1955BAA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717" name="Picture 1">
          <a:extLst>
            <a:ext uri="{FF2B5EF4-FFF2-40B4-BE49-F238E27FC236}">
              <a16:creationId xmlns:a16="http://schemas.microsoft.com/office/drawing/2014/main" id="{AB9763D5-216D-4532-829C-380E1EDC9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718" name="Picture 1">
          <a:extLst>
            <a:ext uri="{FF2B5EF4-FFF2-40B4-BE49-F238E27FC236}">
              <a16:creationId xmlns:a16="http://schemas.microsoft.com/office/drawing/2014/main" id="{E264AC2A-DB4F-4E4F-BD4B-67CE29AC2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719" name="Picture 1">
          <a:extLst>
            <a:ext uri="{FF2B5EF4-FFF2-40B4-BE49-F238E27FC236}">
              <a16:creationId xmlns:a16="http://schemas.microsoft.com/office/drawing/2014/main" id="{56465209-9A49-4352-9C6D-B6B219DDC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720" name="Picture 1">
          <a:extLst>
            <a:ext uri="{FF2B5EF4-FFF2-40B4-BE49-F238E27FC236}">
              <a16:creationId xmlns:a16="http://schemas.microsoft.com/office/drawing/2014/main" id="{D9E1FC0F-E6EB-4E32-B338-98C04524E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98</xdr:row>
      <xdr:rowOff>276120</xdr:rowOff>
    </xdr:from>
    <xdr:ext cx="1294920" cy="28080"/>
    <xdr:pic>
      <xdr:nvPicPr>
        <xdr:cNvPr id="721" name="Picture 1">
          <a:extLst>
            <a:ext uri="{FF2B5EF4-FFF2-40B4-BE49-F238E27FC236}">
              <a16:creationId xmlns:a16="http://schemas.microsoft.com/office/drawing/2014/main" id="{5F8D9529-B4BB-4F15-8C93-1C6F2D09B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792845"/>
          <a:ext cx="1294920" cy="28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722" name="Picture 1">
          <a:extLst>
            <a:ext uri="{FF2B5EF4-FFF2-40B4-BE49-F238E27FC236}">
              <a16:creationId xmlns:a16="http://schemas.microsoft.com/office/drawing/2014/main" id="{4CD56A9B-EF2B-4823-BF7A-FA758331B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723" name="Picture 1">
          <a:extLst>
            <a:ext uri="{FF2B5EF4-FFF2-40B4-BE49-F238E27FC236}">
              <a16:creationId xmlns:a16="http://schemas.microsoft.com/office/drawing/2014/main" id="{4ACB0AF7-8A50-408C-AEAE-D9A0B459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724" name="Picture 1">
          <a:extLst>
            <a:ext uri="{FF2B5EF4-FFF2-40B4-BE49-F238E27FC236}">
              <a16:creationId xmlns:a16="http://schemas.microsoft.com/office/drawing/2014/main" id="{CC095773-7670-4A48-82EE-C519FCA1C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725" name="Picture 1">
          <a:extLst>
            <a:ext uri="{FF2B5EF4-FFF2-40B4-BE49-F238E27FC236}">
              <a16:creationId xmlns:a16="http://schemas.microsoft.com/office/drawing/2014/main" id="{3301E3E4-1BD5-41A1-BC71-3FFAE3A8D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726" name="Picture 1">
          <a:extLst>
            <a:ext uri="{FF2B5EF4-FFF2-40B4-BE49-F238E27FC236}">
              <a16:creationId xmlns:a16="http://schemas.microsoft.com/office/drawing/2014/main" id="{02018C07-2D46-46D3-83B3-9474F372A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727" name="Picture 1">
          <a:extLst>
            <a:ext uri="{FF2B5EF4-FFF2-40B4-BE49-F238E27FC236}">
              <a16:creationId xmlns:a16="http://schemas.microsoft.com/office/drawing/2014/main" id="{D3B74031-AFE3-417E-BC84-23CDDA5AD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728" name="Picture 1">
          <a:extLst>
            <a:ext uri="{FF2B5EF4-FFF2-40B4-BE49-F238E27FC236}">
              <a16:creationId xmlns:a16="http://schemas.microsoft.com/office/drawing/2014/main" id="{E6226FCD-4405-43AF-8BB9-99FA8C704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99</xdr:row>
      <xdr:rowOff>144360</xdr:rowOff>
    </xdr:from>
    <xdr:ext cx="1294920" cy="57240"/>
    <xdr:pic>
      <xdr:nvPicPr>
        <xdr:cNvPr id="729" name="Picture 1">
          <a:extLst>
            <a:ext uri="{FF2B5EF4-FFF2-40B4-BE49-F238E27FC236}">
              <a16:creationId xmlns:a16="http://schemas.microsoft.com/office/drawing/2014/main" id="{FF2E5A4F-6CF1-46BA-B876-654A81CF2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19946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730" name="Picture 1">
          <a:extLst>
            <a:ext uri="{FF2B5EF4-FFF2-40B4-BE49-F238E27FC236}">
              <a16:creationId xmlns:a16="http://schemas.microsoft.com/office/drawing/2014/main" id="{2CD9F10A-A581-4DC4-B868-4927D9265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731" name="Picture 1">
          <a:extLst>
            <a:ext uri="{FF2B5EF4-FFF2-40B4-BE49-F238E27FC236}">
              <a16:creationId xmlns:a16="http://schemas.microsoft.com/office/drawing/2014/main" id="{1F1B0103-3F36-41D0-9E78-4E4C3AE25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732" name="Picture 1">
          <a:extLst>
            <a:ext uri="{FF2B5EF4-FFF2-40B4-BE49-F238E27FC236}">
              <a16:creationId xmlns:a16="http://schemas.microsoft.com/office/drawing/2014/main" id="{A2413C66-9994-4162-A871-19A45717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733" name="Picture 1">
          <a:extLst>
            <a:ext uri="{FF2B5EF4-FFF2-40B4-BE49-F238E27FC236}">
              <a16:creationId xmlns:a16="http://schemas.microsoft.com/office/drawing/2014/main" id="{1D9C1046-86FB-461C-B6A4-3E71BF55C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734" name="Picture 1">
          <a:extLst>
            <a:ext uri="{FF2B5EF4-FFF2-40B4-BE49-F238E27FC236}">
              <a16:creationId xmlns:a16="http://schemas.microsoft.com/office/drawing/2014/main" id="{7B16B3E7-D3FE-4091-BB09-398DCED6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735" name="Picture 1">
          <a:extLst>
            <a:ext uri="{FF2B5EF4-FFF2-40B4-BE49-F238E27FC236}">
              <a16:creationId xmlns:a16="http://schemas.microsoft.com/office/drawing/2014/main" id="{85B53696-C597-40E8-A023-75040214D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736" name="Picture 1">
          <a:extLst>
            <a:ext uri="{FF2B5EF4-FFF2-40B4-BE49-F238E27FC236}">
              <a16:creationId xmlns:a16="http://schemas.microsoft.com/office/drawing/2014/main" id="{F20FE775-C594-4A23-825A-A9BC6CC7B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737" name="Picture 1">
          <a:extLst>
            <a:ext uri="{FF2B5EF4-FFF2-40B4-BE49-F238E27FC236}">
              <a16:creationId xmlns:a16="http://schemas.microsoft.com/office/drawing/2014/main" id="{66E8D46D-4E00-4D7C-BF15-3649C8D0F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100</xdr:row>
      <xdr:rowOff>144000</xdr:rowOff>
    </xdr:from>
    <xdr:ext cx="1294920" cy="57960"/>
    <xdr:pic>
      <xdr:nvPicPr>
        <xdr:cNvPr id="738" name="Picture 1">
          <a:extLst>
            <a:ext uri="{FF2B5EF4-FFF2-40B4-BE49-F238E27FC236}">
              <a16:creationId xmlns:a16="http://schemas.microsoft.com/office/drawing/2014/main" id="{B96479E2-AE74-4E01-A446-D71C6549E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136975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739" name="Picture 1">
          <a:extLst>
            <a:ext uri="{FF2B5EF4-FFF2-40B4-BE49-F238E27FC236}">
              <a16:creationId xmlns:a16="http://schemas.microsoft.com/office/drawing/2014/main" id="{E976A388-DD24-44F4-91ED-66C0BE952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740" name="Picture 1">
          <a:extLst>
            <a:ext uri="{FF2B5EF4-FFF2-40B4-BE49-F238E27FC236}">
              <a16:creationId xmlns:a16="http://schemas.microsoft.com/office/drawing/2014/main" id="{9F7E00AF-BC0A-472B-9A82-75B1DEA37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741" name="Picture 1">
          <a:extLst>
            <a:ext uri="{FF2B5EF4-FFF2-40B4-BE49-F238E27FC236}">
              <a16:creationId xmlns:a16="http://schemas.microsoft.com/office/drawing/2014/main" id="{DC7774A5-804E-4245-8CE8-FB4301D8A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742" name="Picture 1">
          <a:extLst>
            <a:ext uri="{FF2B5EF4-FFF2-40B4-BE49-F238E27FC236}">
              <a16:creationId xmlns:a16="http://schemas.microsoft.com/office/drawing/2014/main" id="{48246139-E4D0-482E-A816-7F02E44F2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743" name="Picture 1">
          <a:extLst>
            <a:ext uri="{FF2B5EF4-FFF2-40B4-BE49-F238E27FC236}">
              <a16:creationId xmlns:a16="http://schemas.microsoft.com/office/drawing/2014/main" id="{A5ECCB6B-9284-43A1-A8A3-2B83CD812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744" name="Picture 1">
          <a:extLst>
            <a:ext uri="{FF2B5EF4-FFF2-40B4-BE49-F238E27FC236}">
              <a16:creationId xmlns:a16="http://schemas.microsoft.com/office/drawing/2014/main" id="{58194308-C863-4CA7-9C9C-FD02203E3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745" name="Picture 1">
          <a:extLst>
            <a:ext uri="{FF2B5EF4-FFF2-40B4-BE49-F238E27FC236}">
              <a16:creationId xmlns:a16="http://schemas.microsoft.com/office/drawing/2014/main" id="{E7BFFB04-0E51-4322-B2C0-DA6545DB0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746" name="Picture 1">
          <a:extLst>
            <a:ext uri="{FF2B5EF4-FFF2-40B4-BE49-F238E27FC236}">
              <a16:creationId xmlns:a16="http://schemas.microsoft.com/office/drawing/2014/main" id="{FF2D0990-0DCD-499C-9C1E-D1D217DA6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101</xdr:row>
      <xdr:rowOff>144360</xdr:rowOff>
    </xdr:from>
    <xdr:ext cx="1294920" cy="57240"/>
    <xdr:pic>
      <xdr:nvPicPr>
        <xdr:cNvPr id="747" name="Picture 1">
          <a:extLst>
            <a:ext uri="{FF2B5EF4-FFF2-40B4-BE49-F238E27FC236}">
              <a16:creationId xmlns:a16="http://schemas.microsoft.com/office/drawing/2014/main" id="{503DA9FA-A3D9-4E04-8128-C767A8FC6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327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748" name="Picture 1">
          <a:extLst>
            <a:ext uri="{FF2B5EF4-FFF2-40B4-BE49-F238E27FC236}">
              <a16:creationId xmlns:a16="http://schemas.microsoft.com/office/drawing/2014/main" id="{F8510EA9-5CD7-4941-B848-6C8492749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749" name="Picture 1">
          <a:extLst>
            <a:ext uri="{FF2B5EF4-FFF2-40B4-BE49-F238E27FC236}">
              <a16:creationId xmlns:a16="http://schemas.microsoft.com/office/drawing/2014/main" id="{2B6D8839-9F96-416F-B9EB-4FEFCE5E4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750" name="Picture 1">
          <a:extLst>
            <a:ext uri="{FF2B5EF4-FFF2-40B4-BE49-F238E27FC236}">
              <a16:creationId xmlns:a16="http://schemas.microsoft.com/office/drawing/2014/main" id="{62C48F15-26C1-4FE9-A0BE-AC4B84A2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751" name="Picture 1">
          <a:extLst>
            <a:ext uri="{FF2B5EF4-FFF2-40B4-BE49-F238E27FC236}">
              <a16:creationId xmlns:a16="http://schemas.microsoft.com/office/drawing/2014/main" id="{98724933-AEAB-4746-B629-B7C80FE2D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752" name="Picture 1">
          <a:extLst>
            <a:ext uri="{FF2B5EF4-FFF2-40B4-BE49-F238E27FC236}">
              <a16:creationId xmlns:a16="http://schemas.microsoft.com/office/drawing/2014/main" id="{045131BC-70AA-4CB6-B65E-8346C2F6F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753" name="Picture 1">
          <a:extLst>
            <a:ext uri="{FF2B5EF4-FFF2-40B4-BE49-F238E27FC236}">
              <a16:creationId xmlns:a16="http://schemas.microsoft.com/office/drawing/2014/main" id="{0B48A09B-F705-463F-AE44-A1E8C3E50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754" name="Picture 1">
          <a:extLst>
            <a:ext uri="{FF2B5EF4-FFF2-40B4-BE49-F238E27FC236}">
              <a16:creationId xmlns:a16="http://schemas.microsoft.com/office/drawing/2014/main" id="{F99D5A7D-5645-4091-9F06-1C5CD950E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755" name="Picture 1">
          <a:extLst>
            <a:ext uri="{FF2B5EF4-FFF2-40B4-BE49-F238E27FC236}">
              <a16:creationId xmlns:a16="http://schemas.microsoft.com/office/drawing/2014/main" id="{0AAF3CF6-8513-4CBB-B13F-3764A0F40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102</xdr:row>
      <xdr:rowOff>144360</xdr:rowOff>
    </xdr:from>
    <xdr:ext cx="1294920" cy="57240"/>
    <xdr:pic>
      <xdr:nvPicPr>
        <xdr:cNvPr id="756" name="Picture 1">
          <a:extLst>
            <a:ext uri="{FF2B5EF4-FFF2-40B4-BE49-F238E27FC236}">
              <a16:creationId xmlns:a16="http://schemas.microsoft.com/office/drawing/2014/main" id="{A7CF2E0A-85A4-47D2-A21E-BF0BD5475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05183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57" name="Picture 1">
          <a:extLst>
            <a:ext uri="{FF2B5EF4-FFF2-40B4-BE49-F238E27FC236}">
              <a16:creationId xmlns:a16="http://schemas.microsoft.com/office/drawing/2014/main" id="{F0B25F3C-D6DB-4AFA-938D-2E412BB22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58" name="Picture 1">
          <a:extLst>
            <a:ext uri="{FF2B5EF4-FFF2-40B4-BE49-F238E27FC236}">
              <a16:creationId xmlns:a16="http://schemas.microsoft.com/office/drawing/2014/main" id="{4A3530BA-02AE-4EDD-8A47-09AAB64F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59" name="Picture 1">
          <a:extLst>
            <a:ext uri="{FF2B5EF4-FFF2-40B4-BE49-F238E27FC236}">
              <a16:creationId xmlns:a16="http://schemas.microsoft.com/office/drawing/2014/main" id="{7B57F84A-5972-4D0C-9521-7D1788806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60" name="Picture 1">
          <a:extLst>
            <a:ext uri="{FF2B5EF4-FFF2-40B4-BE49-F238E27FC236}">
              <a16:creationId xmlns:a16="http://schemas.microsoft.com/office/drawing/2014/main" id="{3341F14D-7AB3-45AF-ACF4-36A585F76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61" name="Picture 1">
          <a:extLst>
            <a:ext uri="{FF2B5EF4-FFF2-40B4-BE49-F238E27FC236}">
              <a16:creationId xmlns:a16="http://schemas.microsoft.com/office/drawing/2014/main" id="{DAACCD88-F776-4C33-A121-6955929A0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62" name="Picture 1">
          <a:extLst>
            <a:ext uri="{FF2B5EF4-FFF2-40B4-BE49-F238E27FC236}">
              <a16:creationId xmlns:a16="http://schemas.microsoft.com/office/drawing/2014/main" id="{AE21F763-27E5-4AE0-A440-A5D601FFB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63" name="Picture 1">
          <a:extLst>
            <a:ext uri="{FF2B5EF4-FFF2-40B4-BE49-F238E27FC236}">
              <a16:creationId xmlns:a16="http://schemas.microsoft.com/office/drawing/2014/main" id="{7FEE152B-7D9E-4868-992B-197DAE558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64" name="Picture 1">
          <a:extLst>
            <a:ext uri="{FF2B5EF4-FFF2-40B4-BE49-F238E27FC236}">
              <a16:creationId xmlns:a16="http://schemas.microsoft.com/office/drawing/2014/main" id="{00F46382-E62F-4277-8113-70B0D8713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65" name="Picture 1">
          <a:extLst>
            <a:ext uri="{FF2B5EF4-FFF2-40B4-BE49-F238E27FC236}">
              <a16:creationId xmlns:a16="http://schemas.microsoft.com/office/drawing/2014/main" id="{AC5A317E-3BE7-4B9C-8D98-93CF1895A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66" name="Picture 1">
          <a:extLst>
            <a:ext uri="{FF2B5EF4-FFF2-40B4-BE49-F238E27FC236}">
              <a16:creationId xmlns:a16="http://schemas.microsoft.com/office/drawing/2014/main" id="{842F18C2-275D-4992-A983-EF60FE207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67" name="Picture 1">
          <a:extLst>
            <a:ext uri="{FF2B5EF4-FFF2-40B4-BE49-F238E27FC236}">
              <a16:creationId xmlns:a16="http://schemas.microsoft.com/office/drawing/2014/main" id="{DA12FB0D-37B2-4921-B879-1719E120F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68" name="Picture 1">
          <a:extLst>
            <a:ext uri="{FF2B5EF4-FFF2-40B4-BE49-F238E27FC236}">
              <a16:creationId xmlns:a16="http://schemas.microsoft.com/office/drawing/2014/main" id="{3712A23C-F3C4-42FF-9758-68670E512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69" name="Picture 1">
          <a:extLst>
            <a:ext uri="{FF2B5EF4-FFF2-40B4-BE49-F238E27FC236}">
              <a16:creationId xmlns:a16="http://schemas.microsoft.com/office/drawing/2014/main" id="{4B2BC848-54B5-4CE7-87D9-99033E698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70" name="Picture 1">
          <a:extLst>
            <a:ext uri="{FF2B5EF4-FFF2-40B4-BE49-F238E27FC236}">
              <a16:creationId xmlns:a16="http://schemas.microsoft.com/office/drawing/2014/main" id="{0E1504D2-9366-4BAD-95BE-F34AEC8FF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71" name="Picture 1">
          <a:extLst>
            <a:ext uri="{FF2B5EF4-FFF2-40B4-BE49-F238E27FC236}">
              <a16:creationId xmlns:a16="http://schemas.microsoft.com/office/drawing/2014/main" id="{D2146C50-0321-440C-A5E8-2366550EC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72" name="Picture 1">
          <a:extLst>
            <a:ext uri="{FF2B5EF4-FFF2-40B4-BE49-F238E27FC236}">
              <a16:creationId xmlns:a16="http://schemas.microsoft.com/office/drawing/2014/main" id="{B8D076D7-7C5B-4789-ACF9-87A57E099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73" name="Picture 1">
          <a:extLst>
            <a:ext uri="{FF2B5EF4-FFF2-40B4-BE49-F238E27FC236}">
              <a16:creationId xmlns:a16="http://schemas.microsoft.com/office/drawing/2014/main" id="{723A1B54-33E5-4DEC-9C5E-33DD64A6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74" name="Picture 1">
          <a:extLst>
            <a:ext uri="{FF2B5EF4-FFF2-40B4-BE49-F238E27FC236}">
              <a16:creationId xmlns:a16="http://schemas.microsoft.com/office/drawing/2014/main" id="{1161F586-B7FA-437B-AD0B-D47230D3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75" name="Picture 1">
          <a:extLst>
            <a:ext uri="{FF2B5EF4-FFF2-40B4-BE49-F238E27FC236}">
              <a16:creationId xmlns:a16="http://schemas.microsoft.com/office/drawing/2014/main" id="{97D6A1FC-DF18-4580-9F71-E530835F1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76" name="Picture 1">
          <a:extLst>
            <a:ext uri="{FF2B5EF4-FFF2-40B4-BE49-F238E27FC236}">
              <a16:creationId xmlns:a16="http://schemas.microsoft.com/office/drawing/2014/main" id="{26E23FEC-7298-4E5E-AC96-BF47B2E4F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77" name="Picture 1">
          <a:extLst>
            <a:ext uri="{FF2B5EF4-FFF2-40B4-BE49-F238E27FC236}">
              <a16:creationId xmlns:a16="http://schemas.microsoft.com/office/drawing/2014/main" id="{BC95BBA1-A55D-44F4-AC13-4C1E8F155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78" name="Picture 1">
          <a:extLst>
            <a:ext uri="{FF2B5EF4-FFF2-40B4-BE49-F238E27FC236}">
              <a16:creationId xmlns:a16="http://schemas.microsoft.com/office/drawing/2014/main" id="{445A1B22-B4F6-43DC-B7BA-86A4A923F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79" name="Picture 1">
          <a:extLst>
            <a:ext uri="{FF2B5EF4-FFF2-40B4-BE49-F238E27FC236}">
              <a16:creationId xmlns:a16="http://schemas.microsoft.com/office/drawing/2014/main" id="{F900D1C5-9E17-4732-A39B-E0FED523A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80" name="Picture 1">
          <a:extLst>
            <a:ext uri="{FF2B5EF4-FFF2-40B4-BE49-F238E27FC236}">
              <a16:creationId xmlns:a16="http://schemas.microsoft.com/office/drawing/2014/main" id="{A4FE7EC8-4DE6-4B74-952F-DA9234BBA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81" name="Picture 1">
          <a:extLst>
            <a:ext uri="{FF2B5EF4-FFF2-40B4-BE49-F238E27FC236}">
              <a16:creationId xmlns:a16="http://schemas.microsoft.com/office/drawing/2014/main" id="{EFD6F874-A1CA-4DA4-803E-86B5581C4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82" name="Picture 1">
          <a:extLst>
            <a:ext uri="{FF2B5EF4-FFF2-40B4-BE49-F238E27FC236}">
              <a16:creationId xmlns:a16="http://schemas.microsoft.com/office/drawing/2014/main" id="{7A303401-511C-4D6B-964A-C56BCC64F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83" name="Picture 1">
          <a:extLst>
            <a:ext uri="{FF2B5EF4-FFF2-40B4-BE49-F238E27FC236}">
              <a16:creationId xmlns:a16="http://schemas.microsoft.com/office/drawing/2014/main" id="{9E348B02-AB0F-4E21-978A-059DABBA0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84" name="Picture 1">
          <a:extLst>
            <a:ext uri="{FF2B5EF4-FFF2-40B4-BE49-F238E27FC236}">
              <a16:creationId xmlns:a16="http://schemas.microsoft.com/office/drawing/2014/main" id="{B743DC39-70D1-4FBA-9E86-FCBA85057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785" name="Picture 1">
          <a:extLst>
            <a:ext uri="{FF2B5EF4-FFF2-40B4-BE49-F238E27FC236}">
              <a16:creationId xmlns:a16="http://schemas.microsoft.com/office/drawing/2014/main" id="{4C4BDC04-58E6-4D65-9622-770791699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86" name="Picture 1">
          <a:extLst>
            <a:ext uri="{FF2B5EF4-FFF2-40B4-BE49-F238E27FC236}">
              <a16:creationId xmlns:a16="http://schemas.microsoft.com/office/drawing/2014/main" id="{A3C42682-BE82-4E16-949A-AB4BE2470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87" name="Picture 1">
          <a:extLst>
            <a:ext uri="{FF2B5EF4-FFF2-40B4-BE49-F238E27FC236}">
              <a16:creationId xmlns:a16="http://schemas.microsoft.com/office/drawing/2014/main" id="{76A96FB2-45DB-4A97-8160-101BE390C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88" name="Picture 1">
          <a:extLst>
            <a:ext uri="{FF2B5EF4-FFF2-40B4-BE49-F238E27FC236}">
              <a16:creationId xmlns:a16="http://schemas.microsoft.com/office/drawing/2014/main" id="{FDC276F8-9174-46DF-B4E9-9F67AD800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89" name="Picture 1">
          <a:extLst>
            <a:ext uri="{FF2B5EF4-FFF2-40B4-BE49-F238E27FC236}">
              <a16:creationId xmlns:a16="http://schemas.microsoft.com/office/drawing/2014/main" id="{421EC4DD-8E64-40DA-8291-D434A23E0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90" name="Picture 1">
          <a:extLst>
            <a:ext uri="{FF2B5EF4-FFF2-40B4-BE49-F238E27FC236}">
              <a16:creationId xmlns:a16="http://schemas.microsoft.com/office/drawing/2014/main" id="{9F4DF12B-025B-4A3F-8D12-1C982F2C9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91" name="Picture 1">
          <a:extLst>
            <a:ext uri="{FF2B5EF4-FFF2-40B4-BE49-F238E27FC236}">
              <a16:creationId xmlns:a16="http://schemas.microsoft.com/office/drawing/2014/main" id="{3172F95D-D473-45E4-9D0A-13383BEDD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92" name="Picture 1">
          <a:extLst>
            <a:ext uri="{FF2B5EF4-FFF2-40B4-BE49-F238E27FC236}">
              <a16:creationId xmlns:a16="http://schemas.microsoft.com/office/drawing/2014/main" id="{1EE957C0-82EC-4DEA-815E-994CDA4D5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93" name="Picture 1">
          <a:extLst>
            <a:ext uri="{FF2B5EF4-FFF2-40B4-BE49-F238E27FC236}">
              <a16:creationId xmlns:a16="http://schemas.microsoft.com/office/drawing/2014/main" id="{C52AD0E6-C6CA-4315-A23D-420BDDC9F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94" name="Picture 1">
          <a:extLst>
            <a:ext uri="{FF2B5EF4-FFF2-40B4-BE49-F238E27FC236}">
              <a16:creationId xmlns:a16="http://schemas.microsoft.com/office/drawing/2014/main" id="{A7C43E56-E833-4156-A742-F72628AD1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95" name="Picture 1">
          <a:extLst>
            <a:ext uri="{FF2B5EF4-FFF2-40B4-BE49-F238E27FC236}">
              <a16:creationId xmlns:a16="http://schemas.microsoft.com/office/drawing/2014/main" id="{786BDBFF-251A-46C8-82EE-47F1421E7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96" name="Picture 1">
          <a:extLst>
            <a:ext uri="{FF2B5EF4-FFF2-40B4-BE49-F238E27FC236}">
              <a16:creationId xmlns:a16="http://schemas.microsoft.com/office/drawing/2014/main" id="{BD4AAE8F-1A42-4B8A-8A1A-00DFA5730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97" name="Picture 1">
          <a:extLst>
            <a:ext uri="{FF2B5EF4-FFF2-40B4-BE49-F238E27FC236}">
              <a16:creationId xmlns:a16="http://schemas.microsoft.com/office/drawing/2014/main" id="{D9F1F406-B662-461E-B017-5A13B56AD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98" name="Picture 1">
          <a:extLst>
            <a:ext uri="{FF2B5EF4-FFF2-40B4-BE49-F238E27FC236}">
              <a16:creationId xmlns:a16="http://schemas.microsoft.com/office/drawing/2014/main" id="{B7CD6364-B96C-48CD-B5E6-398DD1ABD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799" name="Picture 1">
          <a:extLst>
            <a:ext uri="{FF2B5EF4-FFF2-40B4-BE49-F238E27FC236}">
              <a16:creationId xmlns:a16="http://schemas.microsoft.com/office/drawing/2014/main" id="{B428E18A-87CA-4105-9198-88E01ACF2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00" name="Picture 1">
          <a:extLst>
            <a:ext uri="{FF2B5EF4-FFF2-40B4-BE49-F238E27FC236}">
              <a16:creationId xmlns:a16="http://schemas.microsoft.com/office/drawing/2014/main" id="{1AF018D2-A439-49A8-B9CF-4AED0B86E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01" name="Picture 1">
          <a:extLst>
            <a:ext uri="{FF2B5EF4-FFF2-40B4-BE49-F238E27FC236}">
              <a16:creationId xmlns:a16="http://schemas.microsoft.com/office/drawing/2014/main" id="{1D14074D-C7EE-4388-A0D2-5DD585875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02" name="Picture 1">
          <a:extLst>
            <a:ext uri="{FF2B5EF4-FFF2-40B4-BE49-F238E27FC236}">
              <a16:creationId xmlns:a16="http://schemas.microsoft.com/office/drawing/2014/main" id="{B2CF56EB-694F-4271-A59D-8B2B7755B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03" name="Picture 1">
          <a:extLst>
            <a:ext uri="{FF2B5EF4-FFF2-40B4-BE49-F238E27FC236}">
              <a16:creationId xmlns:a16="http://schemas.microsoft.com/office/drawing/2014/main" id="{C64B037E-02E1-4B96-B9B6-0D7FE8B5A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04" name="Picture 1">
          <a:extLst>
            <a:ext uri="{FF2B5EF4-FFF2-40B4-BE49-F238E27FC236}">
              <a16:creationId xmlns:a16="http://schemas.microsoft.com/office/drawing/2014/main" id="{B2BB234E-535C-4AE1-AAFB-5006E0CAC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05" name="Picture 1">
          <a:extLst>
            <a:ext uri="{FF2B5EF4-FFF2-40B4-BE49-F238E27FC236}">
              <a16:creationId xmlns:a16="http://schemas.microsoft.com/office/drawing/2014/main" id="{84D966C4-EFEE-443E-9C0B-ED917DFCE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06" name="Picture 1">
          <a:extLst>
            <a:ext uri="{FF2B5EF4-FFF2-40B4-BE49-F238E27FC236}">
              <a16:creationId xmlns:a16="http://schemas.microsoft.com/office/drawing/2014/main" id="{AB061A21-E3D1-4D99-8A7C-351D3CF81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07" name="Picture 1">
          <a:extLst>
            <a:ext uri="{FF2B5EF4-FFF2-40B4-BE49-F238E27FC236}">
              <a16:creationId xmlns:a16="http://schemas.microsoft.com/office/drawing/2014/main" id="{5100A196-4ACB-4CCD-9B15-6BFB01E48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08" name="Picture 1">
          <a:extLst>
            <a:ext uri="{FF2B5EF4-FFF2-40B4-BE49-F238E27FC236}">
              <a16:creationId xmlns:a16="http://schemas.microsoft.com/office/drawing/2014/main" id="{B564F0DC-A109-4B64-9510-6A0181093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09" name="Picture 1">
          <a:extLst>
            <a:ext uri="{FF2B5EF4-FFF2-40B4-BE49-F238E27FC236}">
              <a16:creationId xmlns:a16="http://schemas.microsoft.com/office/drawing/2014/main" id="{5B658692-6F18-43DC-9844-0A54F2E47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10" name="Picture 1">
          <a:extLst>
            <a:ext uri="{FF2B5EF4-FFF2-40B4-BE49-F238E27FC236}">
              <a16:creationId xmlns:a16="http://schemas.microsoft.com/office/drawing/2014/main" id="{2FAC0780-034B-4324-98FB-8CBDA769D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11" name="Picture 1">
          <a:extLst>
            <a:ext uri="{FF2B5EF4-FFF2-40B4-BE49-F238E27FC236}">
              <a16:creationId xmlns:a16="http://schemas.microsoft.com/office/drawing/2014/main" id="{08F61527-5CF5-4C23-A781-F4CD13C00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12" name="Picture 1">
          <a:extLst>
            <a:ext uri="{FF2B5EF4-FFF2-40B4-BE49-F238E27FC236}">
              <a16:creationId xmlns:a16="http://schemas.microsoft.com/office/drawing/2014/main" id="{D0F78F65-25FB-4F51-80E1-B6DF147DD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13" name="Picture 1">
          <a:extLst>
            <a:ext uri="{FF2B5EF4-FFF2-40B4-BE49-F238E27FC236}">
              <a16:creationId xmlns:a16="http://schemas.microsoft.com/office/drawing/2014/main" id="{BE1FF3F4-047C-4141-922B-E12A12F0A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814" name="Picture 1">
          <a:extLst>
            <a:ext uri="{FF2B5EF4-FFF2-40B4-BE49-F238E27FC236}">
              <a16:creationId xmlns:a16="http://schemas.microsoft.com/office/drawing/2014/main" id="{80F2D17F-1018-4990-9D61-0BDD370A1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15" name="Picture 1">
          <a:extLst>
            <a:ext uri="{FF2B5EF4-FFF2-40B4-BE49-F238E27FC236}">
              <a16:creationId xmlns:a16="http://schemas.microsoft.com/office/drawing/2014/main" id="{ED0E154C-D911-4658-9235-C59453D0C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16" name="Picture 1">
          <a:extLst>
            <a:ext uri="{FF2B5EF4-FFF2-40B4-BE49-F238E27FC236}">
              <a16:creationId xmlns:a16="http://schemas.microsoft.com/office/drawing/2014/main" id="{8ABFFC32-C435-4DB4-84F2-8EB297C29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17" name="Picture 1">
          <a:extLst>
            <a:ext uri="{FF2B5EF4-FFF2-40B4-BE49-F238E27FC236}">
              <a16:creationId xmlns:a16="http://schemas.microsoft.com/office/drawing/2014/main" id="{51D035AA-9F60-4351-B80F-E6122C812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18" name="Picture 1">
          <a:extLst>
            <a:ext uri="{FF2B5EF4-FFF2-40B4-BE49-F238E27FC236}">
              <a16:creationId xmlns:a16="http://schemas.microsoft.com/office/drawing/2014/main" id="{193A54C2-3BEF-4669-8296-FFFCA481C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19" name="Picture 1">
          <a:extLst>
            <a:ext uri="{FF2B5EF4-FFF2-40B4-BE49-F238E27FC236}">
              <a16:creationId xmlns:a16="http://schemas.microsoft.com/office/drawing/2014/main" id="{701E196D-91FE-4CCF-AEFA-D1749F1B5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20" name="Picture 1">
          <a:extLst>
            <a:ext uri="{FF2B5EF4-FFF2-40B4-BE49-F238E27FC236}">
              <a16:creationId xmlns:a16="http://schemas.microsoft.com/office/drawing/2014/main" id="{4FCAAE11-2C0E-4884-A5A1-F3B898373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21" name="Picture 1">
          <a:extLst>
            <a:ext uri="{FF2B5EF4-FFF2-40B4-BE49-F238E27FC236}">
              <a16:creationId xmlns:a16="http://schemas.microsoft.com/office/drawing/2014/main" id="{4AEAF95D-3082-40A6-BDC7-C3957D64B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22" name="Picture 1">
          <a:extLst>
            <a:ext uri="{FF2B5EF4-FFF2-40B4-BE49-F238E27FC236}">
              <a16:creationId xmlns:a16="http://schemas.microsoft.com/office/drawing/2014/main" id="{F3DA3897-AE60-4A3F-A072-0BC29F983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23" name="Picture 1">
          <a:extLst>
            <a:ext uri="{FF2B5EF4-FFF2-40B4-BE49-F238E27FC236}">
              <a16:creationId xmlns:a16="http://schemas.microsoft.com/office/drawing/2014/main" id="{9B084446-3299-4E29-93C7-1267917F3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24" name="Picture 1">
          <a:extLst>
            <a:ext uri="{FF2B5EF4-FFF2-40B4-BE49-F238E27FC236}">
              <a16:creationId xmlns:a16="http://schemas.microsoft.com/office/drawing/2014/main" id="{9881573A-17DB-40D4-BC7F-B2C2CC4DC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25" name="Picture 1">
          <a:extLst>
            <a:ext uri="{FF2B5EF4-FFF2-40B4-BE49-F238E27FC236}">
              <a16:creationId xmlns:a16="http://schemas.microsoft.com/office/drawing/2014/main" id="{01F91D44-95EE-4799-84B8-EC35619F0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26" name="Picture 1">
          <a:extLst>
            <a:ext uri="{FF2B5EF4-FFF2-40B4-BE49-F238E27FC236}">
              <a16:creationId xmlns:a16="http://schemas.microsoft.com/office/drawing/2014/main" id="{50C14546-335E-47AF-81C5-C00555767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27" name="Picture 1">
          <a:extLst>
            <a:ext uri="{FF2B5EF4-FFF2-40B4-BE49-F238E27FC236}">
              <a16:creationId xmlns:a16="http://schemas.microsoft.com/office/drawing/2014/main" id="{89EDADFB-D934-4566-8586-93645696A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28" name="Picture 1">
          <a:extLst>
            <a:ext uri="{FF2B5EF4-FFF2-40B4-BE49-F238E27FC236}">
              <a16:creationId xmlns:a16="http://schemas.microsoft.com/office/drawing/2014/main" id="{E5153262-FDB8-4C21-89B9-49DC9ACA9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29" name="Picture 1">
          <a:extLst>
            <a:ext uri="{FF2B5EF4-FFF2-40B4-BE49-F238E27FC236}">
              <a16:creationId xmlns:a16="http://schemas.microsoft.com/office/drawing/2014/main" id="{1846BD55-9DBB-4EB6-9E8A-E3CD5F792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30" name="Picture 1">
          <a:extLst>
            <a:ext uri="{FF2B5EF4-FFF2-40B4-BE49-F238E27FC236}">
              <a16:creationId xmlns:a16="http://schemas.microsoft.com/office/drawing/2014/main" id="{A1BF07EC-01AD-4E82-8215-74559051E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31" name="Picture 1">
          <a:extLst>
            <a:ext uri="{FF2B5EF4-FFF2-40B4-BE49-F238E27FC236}">
              <a16:creationId xmlns:a16="http://schemas.microsoft.com/office/drawing/2014/main" id="{275BD76A-601B-4385-9EEF-F90493DE2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32" name="Picture 1">
          <a:extLst>
            <a:ext uri="{FF2B5EF4-FFF2-40B4-BE49-F238E27FC236}">
              <a16:creationId xmlns:a16="http://schemas.microsoft.com/office/drawing/2014/main" id="{AD45F293-2F08-456E-A36D-B052D31F1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33" name="Picture 1">
          <a:extLst>
            <a:ext uri="{FF2B5EF4-FFF2-40B4-BE49-F238E27FC236}">
              <a16:creationId xmlns:a16="http://schemas.microsoft.com/office/drawing/2014/main" id="{B5CB968B-ABCA-4F2A-A841-0DE36C507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34" name="Picture 1">
          <a:extLst>
            <a:ext uri="{FF2B5EF4-FFF2-40B4-BE49-F238E27FC236}">
              <a16:creationId xmlns:a16="http://schemas.microsoft.com/office/drawing/2014/main" id="{DD174AF0-0B3C-40C7-BA76-6E893EE15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35" name="Picture 1">
          <a:extLst>
            <a:ext uri="{FF2B5EF4-FFF2-40B4-BE49-F238E27FC236}">
              <a16:creationId xmlns:a16="http://schemas.microsoft.com/office/drawing/2014/main" id="{F291971B-5A72-4538-8F41-461EE2B86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36" name="Picture 1">
          <a:extLst>
            <a:ext uri="{FF2B5EF4-FFF2-40B4-BE49-F238E27FC236}">
              <a16:creationId xmlns:a16="http://schemas.microsoft.com/office/drawing/2014/main" id="{BE278810-7CC4-44C9-A4CF-F87B07046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37" name="Picture 1">
          <a:extLst>
            <a:ext uri="{FF2B5EF4-FFF2-40B4-BE49-F238E27FC236}">
              <a16:creationId xmlns:a16="http://schemas.microsoft.com/office/drawing/2014/main" id="{E21EAE11-B09B-4BFE-A180-E6EC95D62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38" name="Picture 1">
          <a:extLst>
            <a:ext uri="{FF2B5EF4-FFF2-40B4-BE49-F238E27FC236}">
              <a16:creationId xmlns:a16="http://schemas.microsoft.com/office/drawing/2014/main" id="{C5643DC3-4966-4486-836D-01821DE37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39" name="Picture 1">
          <a:extLst>
            <a:ext uri="{FF2B5EF4-FFF2-40B4-BE49-F238E27FC236}">
              <a16:creationId xmlns:a16="http://schemas.microsoft.com/office/drawing/2014/main" id="{9516B3D4-D655-4CA5-934B-A379CF09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40" name="Picture 1">
          <a:extLst>
            <a:ext uri="{FF2B5EF4-FFF2-40B4-BE49-F238E27FC236}">
              <a16:creationId xmlns:a16="http://schemas.microsoft.com/office/drawing/2014/main" id="{11600990-37DE-41A6-95A9-265543167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41" name="Picture 1">
          <a:extLst>
            <a:ext uri="{FF2B5EF4-FFF2-40B4-BE49-F238E27FC236}">
              <a16:creationId xmlns:a16="http://schemas.microsoft.com/office/drawing/2014/main" id="{99D86190-19CD-4AA7-9038-9E04AB16D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42" name="Picture 1">
          <a:extLst>
            <a:ext uri="{FF2B5EF4-FFF2-40B4-BE49-F238E27FC236}">
              <a16:creationId xmlns:a16="http://schemas.microsoft.com/office/drawing/2014/main" id="{3E2CA0F8-4F61-4970-9296-614EBEF7D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843" name="Picture 1">
          <a:extLst>
            <a:ext uri="{FF2B5EF4-FFF2-40B4-BE49-F238E27FC236}">
              <a16:creationId xmlns:a16="http://schemas.microsoft.com/office/drawing/2014/main" id="{79478046-8AA0-4352-8FB9-C4F7141A5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44" name="Picture 1">
          <a:extLst>
            <a:ext uri="{FF2B5EF4-FFF2-40B4-BE49-F238E27FC236}">
              <a16:creationId xmlns:a16="http://schemas.microsoft.com/office/drawing/2014/main" id="{C3BF936A-8789-41DA-9539-6E3821C0E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45" name="Picture 1">
          <a:extLst>
            <a:ext uri="{FF2B5EF4-FFF2-40B4-BE49-F238E27FC236}">
              <a16:creationId xmlns:a16="http://schemas.microsoft.com/office/drawing/2014/main" id="{0FD616A0-11D0-4765-9C92-DCB017B0D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46" name="Picture 1">
          <a:extLst>
            <a:ext uri="{FF2B5EF4-FFF2-40B4-BE49-F238E27FC236}">
              <a16:creationId xmlns:a16="http://schemas.microsoft.com/office/drawing/2014/main" id="{3F638CA5-087E-4949-957C-F8AEBDDD6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47" name="Picture 1">
          <a:extLst>
            <a:ext uri="{FF2B5EF4-FFF2-40B4-BE49-F238E27FC236}">
              <a16:creationId xmlns:a16="http://schemas.microsoft.com/office/drawing/2014/main" id="{170FD55E-F6E6-441D-A55B-A6905502A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48" name="Picture 1">
          <a:extLst>
            <a:ext uri="{FF2B5EF4-FFF2-40B4-BE49-F238E27FC236}">
              <a16:creationId xmlns:a16="http://schemas.microsoft.com/office/drawing/2014/main" id="{7F7126C4-7E08-4ECF-BD3A-C5CCF4EB7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49" name="Picture 1">
          <a:extLst>
            <a:ext uri="{FF2B5EF4-FFF2-40B4-BE49-F238E27FC236}">
              <a16:creationId xmlns:a16="http://schemas.microsoft.com/office/drawing/2014/main" id="{F35E1D56-F816-4CCF-B4D5-0FC9B0EC6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50" name="Picture 1">
          <a:extLst>
            <a:ext uri="{FF2B5EF4-FFF2-40B4-BE49-F238E27FC236}">
              <a16:creationId xmlns:a16="http://schemas.microsoft.com/office/drawing/2014/main" id="{A5F0ED54-057E-4A7B-9DAC-81B020BF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51" name="Picture 1">
          <a:extLst>
            <a:ext uri="{FF2B5EF4-FFF2-40B4-BE49-F238E27FC236}">
              <a16:creationId xmlns:a16="http://schemas.microsoft.com/office/drawing/2014/main" id="{40075CEC-33F2-4F55-93DF-C57835E2D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52" name="Picture 1">
          <a:extLst>
            <a:ext uri="{FF2B5EF4-FFF2-40B4-BE49-F238E27FC236}">
              <a16:creationId xmlns:a16="http://schemas.microsoft.com/office/drawing/2014/main" id="{DCD241BB-2386-4D01-9645-6071D8DBD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53" name="Picture 1">
          <a:extLst>
            <a:ext uri="{FF2B5EF4-FFF2-40B4-BE49-F238E27FC236}">
              <a16:creationId xmlns:a16="http://schemas.microsoft.com/office/drawing/2014/main" id="{A9F0E32D-2CFA-4579-8419-8410B928D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54" name="Picture 1">
          <a:extLst>
            <a:ext uri="{FF2B5EF4-FFF2-40B4-BE49-F238E27FC236}">
              <a16:creationId xmlns:a16="http://schemas.microsoft.com/office/drawing/2014/main" id="{E7AD49D7-9CB7-4216-8F7D-C0C056E52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55" name="Picture 1">
          <a:extLst>
            <a:ext uri="{FF2B5EF4-FFF2-40B4-BE49-F238E27FC236}">
              <a16:creationId xmlns:a16="http://schemas.microsoft.com/office/drawing/2014/main" id="{16A499F8-FEAA-4FDA-B1F4-817386B6B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56" name="Picture 1">
          <a:extLst>
            <a:ext uri="{FF2B5EF4-FFF2-40B4-BE49-F238E27FC236}">
              <a16:creationId xmlns:a16="http://schemas.microsoft.com/office/drawing/2014/main" id="{444132C8-62CF-4A4D-ABB0-485C0EDF1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57" name="Picture 1">
          <a:extLst>
            <a:ext uri="{FF2B5EF4-FFF2-40B4-BE49-F238E27FC236}">
              <a16:creationId xmlns:a16="http://schemas.microsoft.com/office/drawing/2014/main" id="{F558D85F-CC56-4AA0-944A-7F7528571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58" name="Picture 1">
          <a:extLst>
            <a:ext uri="{FF2B5EF4-FFF2-40B4-BE49-F238E27FC236}">
              <a16:creationId xmlns:a16="http://schemas.microsoft.com/office/drawing/2014/main" id="{F7B67AC3-6E54-47F2-90E8-32F901C94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59" name="Picture 1">
          <a:extLst>
            <a:ext uri="{FF2B5EF4-FFF2-40B4-BE49-F238E27FC236}">
              <a16:creationId xmlns:a16="http://schemas.microsoft.com/office/drawing/2014/main" id="{81A2E794-E1F4-409E-AE56-4B2B46A59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60" name="Picture 1">
          <a:extLst>
            <a:ext uri="{FF2B5EF4-FFF2-40B4-BE49-F238E27FC236}">
              <a16:creationId xmlns:a16="http://schemas.microsoft.com/office/drawing/2014/main" id="{C964F057-7FB8-4C89-8D38-FABBA990F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61" name="Picture 1">
          <a:extLst>
            <a:ext uri="{FF2B5EF4-FFF2-40B4-BE49-F238E27FC236}">
              <a16:creationId xmlns:a16="http://schemas.microsoft.com/office/drawing/2014/main" id="{1CD27138-9682-4321-80AB-C395B7705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62" name="Picture 1">
          <a:extLst>
            <a:ext uri="{FF2B5EF4-FFF2-40B4-BE49-F238E27FC236}">
              <a16:creationId xmlns:a16="http://schemas.microsoft.com/office/drawing/2014/main" id="{C40406DA-A58E-446F-8981-08C7986B3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63" name="Picture 1">
          <a:extLst>
            <a:ext uri="{FF2B5EF4-FFF2-40B4-BE49-F238E27FC236}">
              <a16:creationId xmlns:a16="http://schemas.microsoft.com/office/drawing/2014/main" id="{0A2D9CE8-BBC8-49B5-9853-74632284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64" name="Picture 1">
          <a:extLst>
            <a:ext uri="{FF2B5EF4-FFF2-40B4-BE49-F238E27FC236}">
              <a16:creationId xmlns:a16="http://schemas.microsoft.com/office/drawing/2014/main" id="{895C0B75-D688-4675-BCEB-EF2F16325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65" name="Picture 1">
          <a:extLst>
            <a:ext uri="{FF2B5EF4-FFF2-40B4-BE49-F238E27FC236}">
              <a16:creationId xmlns:a16="http://schemas.microsoft.com/office/drawing/2014/main" id="{223ED911-2637-4574-8725-852EB2C1D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66" name="Picture 1">
          <a:extLst>
            <a:ext uri="{FF2B5EF4-FFF2-40B4-BE49-F238E27FC236}">
              <a16:creationId xmlns:a16="http://schemas.microsoft.com/office/drawing/2014/main" id="{56A5D240-4294-45F3-AFD4-5650BE1A3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67" name="Picture 1">
          <a:extLst>
            <a:ext uri="{FF2B5EF4-FFF2-40B4-BE49-F238E27FC236}">
              <a16:creationId xmlns:a16="http://schemas.microsoft.com/office/drawing/2014/main" id="{E2656508-EA55-4C07-9444-CB36613E7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68" name="Picture 1">
          <a:extLst>
            <a:ext uri="{FF2B5EF4-FFF2-40B4-BE49-F238E27FC236}">
              <a16:creationId xmlns:a16="http://schemas.microsoft.com/office/drawing/2014/main" id="{F789BD29-CB05-43FB-B1E6-077F5E106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69" name="Picture 1">
          <a:extLst>
            <a:ext uri="{FF2B5EF4-FFF2-40B4-BE49-F238E27FC236}">
              <a16:creationId xmlns:a16="http://schemas.microsoft.com/office/drawing/2014/main" id="{8A45CCF1-B3B5-404D-9ACC-2C3D5117E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70" name="Picture 1">
          <a:extLst>
            <a:ext uri="{FF2B5EF4-FFF2-40B4-BE49-F238E27FC236}">
              <a16:creationId xmlns:a16="http://schemas.microsoft.com/office/drawing/2014/main" id="{48040C40-6388-491B-AE25-B06E427BB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71" name="Picture 1">
          <a:extLst>
            <a:ext uri="{FF2B5EF4-FFF2-40B4-BE49-F238E27FC236}">
              <a16:creationId xmlns:a16="http://schemas.microsoft.com/office/drawing/2014/main" id="{A6AE6029-ADC8-4EEE-AAFE-54725A08E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872" name="Picture 1">
          <a:extLst>
            <a:ext uri="{FF2B5EF4-FFF2-40B4-BE49-F238E27FC236}">
              <a16:creationId xmlns:a16="http://schemas.microsoft.com/office/drawing/2014/main" id="{C5237BD0-370A-440A-ADCC-9E7BC98E6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73" name="Picture 1">
          <a:extLst>
            <a:ext uri="{FF2B5EF4-FFF2-40B4-BE49-F238E27FC236}">
              <a16:creationId xmlns:a16="http://schemas.microsoft.com/office/drawing/2014/main" id="{052E3ECE-3493-4301-A35E-574886977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74" name="Picture 1">
          <a:extLst>
            <a:ext uri="{FF2B5EF4-FFF2-40B4-BE49-F238E27FC236}">
              <a16:creationId xmlns:a16="http://schemas.microsoft.com/office/drawing/2014/main" id="{E42ADEF0-B092-4856-A2ED-CCD87EC9B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75" name="Picture 1">
          <a:extLst>
            <a:ext uri="{FF2B5EF4-FFF2-40B4-BE49-F238E27FC236}">
              <a16:creationId xmlns:a16="http://schemas.microsoft.com/office/drawing/2014/main" id="{E7274698-A70F-4F2F-BAE6-E1BAE1743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76" name="Picture 1">
          <a:extLst>
            <a:ext uri="{FF2B5EF4-FFF2-40B4-BE49-F238E27FC236}">
              <a16:creationId xmlns:a16="http://schemas.microsoft.com/office/drawing/2014/main" id="{6F8B928D-5BB3-4508-8657-3FF998D1A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77" name="Picture 1">
          <a:extLst>
            <a:ext uri="{FF2B5EF4-FFF2-40B4-BE49-F238E27FC236}">
              <a16:creationId xmlns:a16="http://schemas.microsoft.com/office/drawing/2014/main" id="{92DF84B0-36F3-40EE-8725-86BA2F8B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78" name="Picture 1">
          <a:extLst>
            <a:ext uri="{FF2B5EF4-FFF2-40B4-BE49-F238E27FC236}">
              <a16:creationId xmlns:a16="http://schemas.microsoft.com/office/drawing/2014/main" id="{15A03B40-074D-4867-9959-BA1A227B1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79" name="Picture 1">
          <a:extLst>
            <a:ext uri="{FF2B5EF4-FFF2-40B4-BE49-F238E27FC236}">
              <a16:creationId xmlns:a16="http://schemas.microsoft.com/office/drawing/2014/main" id="{7C401409-0C7E-4055-A895-75A272E12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80" name="Picture 1">
          <a:extLst>
            <a:ext uri="{FF2B5EF4-FFF2-40B4-BE49-F238E27FC236}">
              <a16:creationId xmlns:a16="http://schemas.microsoft.com/office/drawing/2014/main" id="{0DA94FF8-FD74-4FA6-ADFF-206734FAE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81" name="Picture 1">
          <a:extLst>
            <a:ext uri="{FF2B5EF4-FFF2-40B4-BE49-F238E27FC236}">
              <a16:creationId xmlns:a16="http://schemas.microsoft.com/office/drawing/2014/main" id="{2B2890CB-BCCB-43CD-95DB-CCBF62F02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82" name="Picture 1">
          <a:extLst>
            <a:ext uri="{FF2B5EF4-FFF2-40B4-BE49-F238E27FC236}">
              <a16:creationId xmlns:a16="http://schemas.microsoft.com/office/drawing/2014/main" id="{FC6349BF-39E1-44E5-B005-AD16CD0A7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83" name="Picture 1">
          <a:extLst>
            <a:ext uri="{FF2B5EF4-FFF2-40B4-BE49-F238E27FC236}">
              <a16:creationId xmlns:a16="http://schemas.microsoft.com/office/drawing/2014/main" id="{A1495520-1532-4D2C-9F04-D0CD8B22B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84" name="Picture 1">
          <a:extLst>
            <a:ext uri="{FF2B5EF4-FFF2-40B4-BE49-F238E27FC236}">
              <a16:creationId xmlns:a16="http://schemas.microsoft.com/office/drawing/2014/main" id="{9CD29677-63B4-465E-91B6-1F8611692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85" name="Picture 1">
          <a:extLst>
            <a:ext uri="{FF2B5EF4-FFF2-40B4-BE49-F238E27FC236}">
              <a16:creationId xmlns:a16="http://schemas.microsoft.com/office/drawing/2014/main" id="{2933CD5A-7C72-423E-B467-D2D3F86A0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86" name="Picture 1">
          <a:extLst>
            <a:ext uri="{FF2B5EF4-FFF2-40B4-BE49-F238E27FC236}">
              <a16:creationId xmlns:a16="http://schemas.microsoft.com/office/drawing/2014/main" id="{46D56FA0-3541-4347-A2A4-34D4C7AD2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87" name="Picture 1">
          <a:extLst>
            <a:ext uri="{FF2B5EF4-FFF2-40B4-BE49-F238E27FC236}">
              <a16:creationId xmlns:a16="http://schemas.microsoft.com/office/drawing/2014/main" id="{52B428E7-0637-467B-8FD3-DF046DE1D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88" name="Picture 1">
          <a:extLst>
            <a:ext uri="{FF2B5EF4-FFF2-40B4-BE49-F238E27FC236}">
              <a16:creationId xmlns:a16="http://schemas.microsoft.com/office/drawing/2014/main" id="{BF3BC8E2-926B-42F5-9A72-97B8498CD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89" name="Picture 1">
          <a:extLst>
            <a:ext uri="{FF2B5EF4-FFF2-40B4-BE49-F238E27FC236}">
              <a16:creationId xmlns:a16="http://schemas.microsoft.com/office/drawing/2014/main" id="{F3D34ECE-38FA-4C7C-B564-AF25B7C8A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90" name="Picture 1">
          <a:extLst>
            <a:ext uri="{FF2B5EF4-FFF2-40B4-BE49-F238E27FC236}">
              <a16:creationId xmlns:a16="http://schemas.microsoft.com/office/drawing/2014/main" id="{16825C40-3F75-4851-8FFF-C4C3CE8C5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91" name="Picture 1">
          <a:extLst>
            <a:ext uri="{FF2B5EF4-FFF2-40B4-BE49-F238E27FC236}">
              <a16:creationId xmlns:a16="http://schemas.microsoft.com/office/drawing/2014/main" id="{026E032C-A868-4E9C-9D30-81E209635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92" name="Picture 1">
          <a:extLst>
            <a:ext uri="{FF2B5EF4-FFF2-40B4-BE49-F238E27FC236}">
              <a16:creationId xmlns:a16="http://schemas.microsoft.com/office/drawing/2014/main" id="{EF36117B-62FA-4D4C-8169-7A3383FB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93" name="Picture 1">
          <a:extLst>
            <a:ext uri="{FF2B5EF4-FFF2-40B4-BE49-F238E27FC236}">
              <a16:creationId xmlns:a16="http://schemas.microsoft.com/office/drawing/2014/main" id="{2F56EAF7-E0E2-4B6F-9149-9846A2F6A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94" name="Picture 1">
          <a:extLst>
            <a:ext uri="{FF2B5EF4-FFF2-40B4-BE49-F238E27FC236}">
              <a16:creationId xmlns:a16="http://schemas.microsoft.com/office/drawing/2014/main" id="{D52A8F46-AA9F-437F-8447-27BF0D689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95" name="Picture 1">
          <a:extLst>
            <a:ext uri="{FF2B5EF4-FFF2-40B4-BE49-F238E27FC236}">
              <a16:creationId xmlns:a16="http://schemas.microsoft.com/office/drawing/2014/main" id="{797B4F92-1FD8-42C7-AA0C-00F21E1CE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96" name="Picture 1">
          <a:extLst>
            <a:ext uri="{FF2B5EF4-FFF2-40B4-BE49-F238E27FC236}">
              <a16:creationId xmlns:a16="http://schemas.microsoft.com/office/drawing/2014/main" id="{60DF737D-837B-4C44-BC62-A5F248F63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97" name="Picture 1">
          <a:extLst>
            <a:ext uri="{FF2B5EF4-FFF2-40B4-BE49-F238E27FC236}">
              <a16:creationId xmlns:a16="http://schemas.microsoft.com/office/drawing/2014/main" id="{BA671673-BB87-40AC-AFEC-B94AF5446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98" name="Picture 1">
          <a:extLst>
            <a:ext uri="{FF2B5EF4-FFF2-40B4-BE49-F238E27FC236}">
              <a16:creationId xmlns:a16="http://schemas.microsoft.com/office/drawing/2014/main" id="{488B441C-A425-4A9B-BEDC-5E9EE0E08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899" name="Picture 1">
          <a:extLst>
            <a:ext uri="{FF2B5EF4-FFF2-40B4-BE49-F238E27FC236}">
              <a16:creationId xmlns:a16="http://schemas.microsoft.com/office/drawing/2014/main" id="{8806CA9A-BD1E-4337-A57B-F88410737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900" name="Picture 1">
          <a:extLst>
            <a:ext uri="{FF2B5EF4-FFF2-40B4-BE49-F238E27FC236}">
              <a16:creationId xmlns:a16="http://schemas.microsoft.com/office/drawing/2014/main" id="{648EF23D-34BE-49F9-BAA9-FE70EA4EC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901" name="Picture 1">
          <a:extLst>
            <a:ext uri="{FF2B5EF4-FFF2-40B4-BE49-F238E27FC236}">
              <a16:creationId xmlns:a16="http://schemas.microsoft.com/office/drawing/2014/main" id="{125D246F-E35F-4E25-BFF2-76CCF3874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02" name="Picture 1">
          <a:extLst>
            <a:ext uri="{FF2B5EF4-FFF2-40B4-BE49-F238E27FC236}">
              <a16:creationId xmlns:a16="http://schemas.microsoft.com/office/drawing/2014/main" id="{C8E9C914-3E45-4A54-BE49-4953F6420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03" name="Picture 1">
          <a:extLst>
            <a:ext uri="{FF2B5EF4-FFF2-40B4-BE49-F238E27FC236}">
              <a16:creationId xmlns:a16="http://schemas.microsoft.com/office/drawing/2014/main" id="{4384E907-F700-4A7E-ACD5-2213AD34A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04" name="Picture 1">
          <a:extLst>
            <a:ext uri="{FF2B5EF4-FFF2-40B4-BE49-F238E27FC236}">
              <a16:creationId xmlns:a16="http://schemas.microsoft.com/office/drawing/2014/main" id="{9D3124E0-7CCC-44DA-B3D7-12F6D9D41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05" name="Picture 1">
          <a:extLst>
            <a:ext uri="{FF2B5EF4-FFF2-40B4-BE49-F238E27FC236}">
              <a16:creationId xmlns:a16="http://schemas.microsoft.com/office/drawing/2014/main" id="{61DF5F7B-3DF7-4272-84F1-4102E39C2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06" name="Picture 1">
          <a:extLst>
            <a:ext uri="{FF2B5EF4-FFF2-40B4-BE49-F238E27FC236}">
              <a16:creationId xmlns:a16="http://schemas.microsoft.com/office/drawing/2014/main" id="{58D8217D-834C-485D-AF78-170E5B99E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07" name="Picture 1">
          <a:extLst>
            <a:ext uri="{FF2B5EF4-FFF2-40B4-BE49-F238E27FC236}">
              <a16:creationId xmlns:a16="http://schemas.microsoft.com/office/drawing/2014/main" id="{D76C3CAA-12F9-4388-88DF-21BD27E1A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08" name="Picture 1">
          <a:extLst>
            <a:ext uri="{FF2B5EF4-FFF2-40B4-BE49-F238E27FC236}">
              <a16:creationId xmlns:a16="http://schemas.microsoft.com/office/drawing/2014/main" id="{C37F1592-3FB6-43A2-9A6C-F435DC6C3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09" name="Picture 1">
          <a:extLst>
            <a:ext uri="{FF2B5EF4-FFF2-40B4-BE49-F238E27FC236}">
              <a16:creationId xmlns:a16="http://schemas.microsoft.com/office/drawing/2014/main" id="{30BE4B43-F06A-4B6C-8630-E87A05898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10" name="Picture 1">
          <a:extLst>
            <a:ext uri="{FF2B5EF4-FFF2-40B4-BE49-F238E27FC236}">
              <a16:creationId xmlns:a16="http://schemas.microsoft.com/office/drawing/2014/main" id="{00037F1A-A18B-488F-AA46-F374E9552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11" name="Picture 1">
          <a:extLst>
            <a:ext uri="{FF2B5EF4-FFF2-40B4-BE49-F238E27FC236}">
              <a16:creationId xmlns:a16="http://schemas.microsoft.com/office/drawing/2014/main" id="{A349DB29-1F6E-4621-8E5C-F2D220C60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12" name="Picture 1">
          <a:extLst>
            <a:ext uri="{FF2B5EF4-FFF2-40B4-BE49-F238E27FC236}">
              <a16:creationId xmlns:a16="http://schemas.microsoft.com/office/drawing/2014/main" id="{BD4C9B28-897B-4FAA-B3DE-63E00232C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13" name="Picture 1">
          <a:extLst>
            <a:ext uri="{FF2B5EF4-FFF2-40B4-BE49-F238E27FC236}">
              <a16:creationId xmlns:a16="http://schemas.microsoft.com/office/drawing/2014/main" id="{10977B63-82B1-4891-B278-804EABBA4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14" name="Picture 1">
          <a:extLst>
            <a:ext uri="{FF2B5EF4-FFF2-40B4-BE49-F238E27FC236}">
              <a16:creationId xmlns:a16="http://schemas.microsoft.com/office/drawing/2014/main" id="{863F6FDF-9724-42D6-922B-45C785ABC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15" name="Picture 1">
          <a:extLst>
            <a:ext uri="{FF2B5EF4-FFF2-40B4-BE49-F238E27FC236}">
              <a16:creationId xmlns:a16="http://schemas.microsoft.com/office/drawing/2014/main" id="{4EAF31B2-3B92-47CD-AB69-F331A3592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16" name="Picture 1">
          <a:extLst>
            <a:ext uri="{FF2B5EF4-FFF2-40B4-BE49-F238E27FC236}">
              <a16:creationId xmlns:a16="http://schemas.microsoft.com/office/drawing/2014/main" id="{7D42446A-AD0B-438D-A6DC-88E7943B9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17" name="Picture 1">
          <a:extLst>
            <a:ext uri="{FF2B5EF4-FFF2-40B4-BE49-F238E27FC236}">
              <a16:creationId xmlns:a16="http://schemas.microsoft.com/office/drawing/2014/main" id="{CB0582B1-259F-4F3C-BB96-B42D151FE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18" name="Picture 1">
          <a:extLst>
            <a:ext uri="{FF2B5EF4-FFF2-40B4-BE49-F238E27FC236}">
              <a16:creationId xmlns:a16="http://schemas.microsoft.com/office/drawing/2014/main" id="{4D9A4244-CCFA-4105-9B71-C63C2D47B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19" name="Picture 1">
          <a:extLst>
            <a:ext uri="{FF2B5EF4-FFF2-40B4-BE49-F238E27FC236}">
              <a16:creationId xmlns:a16="http://schemas.microsoft.com/office/drawing/2014/main" id="{C3A59717-0C1A-4069-A4E8-3E02125F8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20" name="Picture 1">
          <a:extLst>
            <a:ext uri="{FF2B5EF4-FFF2-40B4-BE49-F238E27FC236}">
              <a16:creationId xmlns:a16="http://schemas.microsoft.com/office/drawing/2014/main" id="{B3A919EB-1692-4584-9321-DC4D54D6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21" name="Picture 1">
          <a:extLst>
            <a:ext uri="{FF2B5EF4-FFF2-40B4-BE49-F238E27FC236}">
              <a16:creationId xmlns:a16="http://schemas.microsoft.com/office/drawing/2014/main" id="{E533AE7C-2DD5-4F5F-BB19-138260686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22" name="Picture 1">
          <a:extLst>
            <a:ext uri="{FF2B5EF4-FFF2-40B4-BE49-F238E27FC236}">
              <a16:creationId xmlns:a16="http://schemas.microsoft.com/office/drawing/2014/main" id="{193C57FE-BE95-409C-9D8B-48D5F31EA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23" name="Picture 1">
          <a:extLst>
            <a:ext uri="{FF2B5EF4-FFF2-40B4-BE49-F238E27FC236}">
              <a16:creationId xmlns:a16="http://schemas.microsoft.com/office/drawing/2014/main" id="{F15A4060-DC2C-4777-80BF-CC118E627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24" name="Picture 1">
          <a:extLst>
            <a:ext uri="{FF2B5EF4-FFF2-40B4-BE49-F238E27FC236}">
              <a16:creationId xmlns:a16="http://schemas.microsoft.com/office/drawing/2014/main" id="{08A164FA-70F5-4526-8666-9F4A353B1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25" name="Picture 1">
          <a:extLst>
            <a:ext uri="{FF2B5EF4-FFF2-40B4-BE49-F238E27FC236}">
              <a16:creationId xmlns:a16="http://schemas.microsoft.com/office/drawing/2014/main" id="{83A38BA7-D460-4BAE-8236-5E281829F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26" name="Picture 1">
          <a:extLst>
            <a:ext uri="{FF2B5EF4-FFF2-40B4-BE49-F238E27FC236}">
              <a16:creationId xmlns:a16="http://schemas.microsoft.com/office/drawing/2014/main" id="{853AB638-9097-4B36-B56A-E8E7457A9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27" name="Picture 1">
          <a:extLst>
            <a:ext uri="{FF2B5EF4-FFF2-40B4-BE49-F238E27FC236}">
              <a16:creationId xmlns:a16="http://schemas.microsoft.com/office/drawing/2014/main" id="{C1E6D5D1-32FE-4874-8846-ED2FAD0D7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28" name="Picture 1">
          <a:extLst>
            <a:ext uri="{FF2B5EF4-FFF2-40B4-BE49-F238E27FC236}">
              <a16:creationId xmlns:a16="http://schemas.microsoft.com/office/drawing/2014/main" id="{3051E1C2-1748-41E2-831B-F2C64D12F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29" name="Picture 1">
          <a:extLst>
            <a:ext uri="{FF2B5EF4-FFF2-40B4-BE49-F238E27FC236}">
              <a16:creationId xmlns:a16="http://schemas.microsoft.com/office/drawing/2014/main" id="{F8FF2326-4687-45C5-A142-63BED2F35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930" name="Picture 1">
          <a:extLst>
            <a:ext uri="{FF2B5EF4-FFF2-40B4-BE49-F238E27FC236}">
              <a16:creationId xmlns:a16="http://schemas.microsoft.com/office/drawing/2014/main" id="{7EB3D203-F409-463A-BAA2-669F36D1E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31" name="Picture 1">
          <a:extLst>
            <a:ext uri="{FF2B5EF4-FFF2-40B4-BE49-F238E27FC236}">
              <a16:creationId xmlns:a16="http://schemas.microsoft.com/office/drawing/2014/main" id="{E8394B73-D320-4612-8FCA-436E41914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32" name="Picture 1">
          <a:extLst>
            <a:ext uri="{FF2B5EF4-FFF2-40B4-BE49-F238E27FC236}">
              <a16:creationId xmlns:a16="http://schemas.microsoft.com/office/drawing/2014/main" id="{1A34DDCE-1DD0-474D-9604-F82E7E8EE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33" name="Picture 1">
          <a:extLst>
            <a:ext uri="{FF2B5EF4-FFF2-40B4-BE49-F238E27FC236}">
              <a16:creationId xmlns:a16="http://schemas.microsoft.com/office/drawing/2014/main" id="{8D47E1C6-7D97-4431-928B-C2680674C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34" name="Picture 1">
          <a:extLst>
            <a:ext uri="{FF2B5EF4-FFF2-40B4-BE49-F238E27FC236}">
              <a16:creationId xmlns:a16="http://schemas.microsoft.com/office/drawing/2014/main" id="{B0388381-201E-41B1-9D0B-E784E2E92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35" name="Picture 1">
          <a:extLst>
            <a:ext uri="{FF2B5EF4-FFF2-40B4-BE49-F238E27FC236}">
              <a16:creationId xmlns:a16="http://schemas.microsoft.com/office/drawing/2014/main" id="{1D582F21-A1BA-404E-B725-5E73104E4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36" name="Picture 1">
          <a:extLst>
            <a:ext uri="{FF2B5EF4-FFF2-40B4-BE49-F238E27FC236}">
              <a16:creationId xmlns:a16="http://schemas.microsoft.com/office/drawing/2014/main" id="{35DA4308-132C-481D-92A4-11BC35571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37" name="Picture 1">
          <a:extLst>
            <a:ext uri="{FF2B5EF4-FFF2-40B4-BE49-F238E27FC236}">
              <a16:creationId xmlns:a16="http://schemas.microsoft.com/office/drawing/2014/main" id="{ABF8B008-23B8-44C2-8806-DD0203699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38" name="Picture 1">
          <a:extLst>
            <a:ext uri="{FF2B5EF4-FFF2-40B4-BE49-F238E27FC236}">
              <a16:creationId xmlns:a16="http://schemas.microsoft.com/office/drawing/2014/main" id="{DBC28A7B-5337-4E72-9ED3-F279A6EA6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39" name="Picture 1">
          <a:extLst>
            <a:ext uri="{FF2B5EF4-FFF2-40B4-BE49-F238E27FC236}">
              <a16:creationId xmlns:a16="http://schemas.microsoft.com/office/drawing/2014/main" id="{F32A1E93-887F-4675-A7A5-5ABFF0EED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40" name="Picture 1">
          <a:extLst>
            <a:ext uri="{FF2B5EF4-FFF2-40B4-BE49-F238E27FC236}">
              <a16:creationId xmlns:a16="http://schemas.microsoft.com/office/drawing/2014/main" id="{A681A5ED-BE22-4358-B7D2-5DDC5104D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41" name="Picture 1">
          <a:extLst>
            <a:ext uri="{FF2B5EF4-FFF2-40B4-BE49-F238E27FC236}">
              <a16:creationId xmlns:a16="http://schemas.microsoft.com/office/drawing/2014/main" id="{A83714AF-E973-498C-BDF2-AA3B86F9D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42" name="Picture 1">
          <a:extLst>
            <a:ext uri="{FF2B5EF4-FFF2-40B4-BE49-F238E27FC236}">
              <a16:creationId xmlns:a16="http://schemas.microsoft.com/office/drawing/2014/main" id="{2A6D5533-0153-4156-9BE7-57DC2C205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43" name="Picture 1">
          <a:extLst>
            <a:ext uri="{FF2B5EF4-FFF2-40B4-BE49-F238E27FC236}">
              <a16:creationId xmlns:a16="http://schemas.microsoft.com/office/drawing/2014/main" id="{14720500-C37E-4B01-ABA5-A36FCDE64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44" name="Picture 1">
          <a:extLst>
            <a:ext uri="{FF2B5EF4-FFF2-40B4-BE49-F238E27FC236}">
              <a16:creationId xmlns:a16="http://schemas.microsoft.com/office/drawing/2014/main" id="{B1207854-53E7-4DD8-AF01-9B3D572A1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45" name="Picture 1">
          <a:extLst>
            <a:ext uri="{FF2B5EF4-FFF2-40B4-BE49-F238E27FC236}">
              <a16:creationId xmlns:a16="http://schemas.microsoft.com/office/drawing/2014/main" id="{64B8CDB6-8CD2-4198-9A17-E110F457C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46" name="Picture 1">
          <a:extLst>
            <a:ext uri="{FF2B5EF4-FFF2-40B4-BE49-F238E27FC236}">
              <a16:creationId xmlns:a16="http://schemas.microsoft.com/office/drawing/2014/main" id="{15BB7277-94E5-452B-ACD1-838B9851B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47" name="Picture 1">
          <a:extLst>
            <a:ext uri="{FF2B5EF4-FFF2-40B4-BE49-F238E27FC236}">
              <a16:creationId xmlns:a16="http://schemas.microsoft.com/office/drawing/2014/main" id="{DE104205-9EFF-4B12-8AF0-C1B0E3B84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48" name="Picture 1">
          <a:extLst>
            <a:ext uri="{FF2B5EF4-FFF2-40B4-BE49-F238E27FC236}">
              <a16:creationId xmlns:a16="http://schemas.microsoft.com/office/drawing/2014/main" id="{D8F088FB-3626-46A8-981F-06A0FFE5F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49" name="Picture 1">
          <a:extLst>
            <a:ext uri="{FF2B5EF4-FFF2-40B4-BE49-F238E27FC236}">
              <a16:creationId xmlns:a16="http://schemas.microsoft.com/office/drawing/2014/main" id="{722CC73F-3A71-493F-BC86-FAF51A493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50" name="Picture 1">
          <a:extLst>
            <a:ext uri="{FF2B5EF4-FFF2-40B4-BE49-F238E27FC236}">
              <a16:creationId xmlns:a16="http://schemas.microsoft.com/office/drawing/2014/main" id="{E8EA710E-55C9-42B6-B783-AE6AC5B50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51" name="Picture 1">
          <a:extLst>
            <a:ext uri="{FF2B5EF4-FFF2-40B4-BE49-F238E27FC236}">
              <a16:creationId xmlns:a16="http://schemas.microsoft.com/office/drawing/2014/main" id="{B56D45B7-A254-4952-9771-101E10BFC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52" name="Picture 1">
          <a:extLst>
            <a:ext uri="{FF2B5EF4-FFF2-40B4-BE49-F238E27FC236}">
              <a16:creationId xmlns:a16="http://schemas.microsoft.com/office/drawing/2014/main" id="{156219FC-B24B-4413-8D6F-14D488734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53" name="Picture 1">
          <a:extLst>
            <a:ext uri="{FF2B5EF4-FFF2-40B4-BE49-F238E27FC236}">
              <a16:creationId xmlns:a16="http://schemas.microsoft.com/office/drawing/2014/main" id="{A5B314C9-FD3B-4F81-AA5A-84320E3B2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54" name="Picture 1">
          <a:extLst>
            <a:ext uri="{FF2B5EF4-FFF2-40B4-BE49-F238E27FC236}">
              <a16:creationId xmlns:a16="http://schemas.microsoft.com/office/drawing/2014/main" id="{136F14BD-72C2-4C9E-BDBB-276412FF8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55" name="Picture 1">
          <a:extLst>
            <a:ext uri="{FF2B5EF4-FFF2-40B4-BE49-F238E27FC236}">
              <a16:creationId xmlns:a16="http://schemas.microsoft.com/office/drawing/2014/main" id="{3F5F5288-DCEE-4BC4-B46E-F8A502638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56" name="Picture 1">
          <a:extLst>
            <a:ext uri="{FF2B5EF4-FFF2-40B4-BE49-F238E27FC236}">
              <a16:creationId xmlns:a16="http://schemas.microsoft.com/office/drawing/2014/main" id="{0BAF7B9B-E50F-4613-96E2-A50EB8149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57" name="Picture 1">
          <a:extLst>
            <a:ext uri="{FF2B5EF4-FFF2-40B4-BE49-F238E27FC236}">
              <a16:creationId xmlns:a16="http://schemas.microsoft.com/office/drawing/2014/main" id="{C134BB95-2BFD-4507-AE7B-AF1111B4F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58" name="Picture 1">
          <a:extLst>
            <a:ext uri="{FF2B5EF4-FFF2-40B4-BE49-F238E27FC236}">
              <a16:creationId xmlns:a16="http://schemas.microsoft.com/office/drawing/2014/main" id="{F6DF0DDA-5A33-47FC-848B-5ED416D08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959" name="Picture 1">
          <a:extLst>
            <a:ext uri="{FF2B5EF4-FFF2-40B4-BE49-F238E27FC236}">
              <a16:creationId xmlns:a16="http://schemas.microsoft.com/office/drawing/2014/main" id="{5C0668E9-75E2-4794-AF80-7B8C22B4D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960" name="Picture 1">
          <a:extLst>
            <a:ext uri="{FF2B5EF4-FFF2-40B4-BE49-F238E27FC236}">
              <a16:creationId xmlns:a16="http://schemas.microsoft.com/office/drawing/2014/main" id="{9758324B-8940-40A0-8A79-D6F29FC04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961" name="Picture 1">
          <a:extLst>
            <a:ext uri="{FF2B5EF4-FFF2-40B4-BE49-F238E27FC236}">
              <a16:creationId xmlns:a16="http://schemas.microsoft.com/office/drawing/2014/main" id="{738AB6C2-F926-4277-91FF-5A7F8A951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962" name="Picture 1">
          <a:extLst>
            <a:ext uri="{FF2B5EF4-FFF2-40B4-BE49-F238E27FC236}">
              <a16:creationId xmlns:a16="http://schemas.microsoft.com/office/drawing/2014/main" id="{B603FB63-F87A-4015-90CB-DBBC73D40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963" name="Picture 1">
          <a:extLst>
            <a:ext uri="{FF2B5EF4-FFF2-40B4-BE49-F238E27FC236}">
              <a16:creationId xmlns:a16="http://schemas.microsoft.com/office/drawing/2014/main" id="{4C26448A-2608-47EE-B4E8-76744E364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964" name="Picture 1">
          <a:extLst>
            <a:ext uri="{FF2B5EF4-FFF2-40B4-BE49-F238E27FC236}">
              <a16:creationId xmlns:a16="http://schemas.microsoft.com/office/drawing/2014/main" id="{66551DB2-C11C-4C50-BDF7-6BFC94A34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965" name="Picture 1">
          <a:extLst>
            <a:ext uri="{FF2B5EF4-FFF2-40B4-BE49-F238E27FC236}">
              <a16:creationId xmlns:a16="http://schemas.microsoft.com/office/drawing/2014/main" id="{77BB7B4C-6CA7-41A3-8A6A-397865AF5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966" name="Picture 1">
          <a:extLst>
            <a:ext uri="{FF2B5EF4-FFF2-40B4-BE49-F238E27FC236}">
              <a16:creationId xmlns:a16="http://schemas.microsoft.com/office/drawing/2014/main" id="{8B3F8153-9D8B-49A6-A75A-7D6E91F26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967" name="Picture 1">
          <a:extLst>
            <a:ext uri="{FF2B5EF4-FFF2-40B4-BE49-F238E27FC236}">
              <a16:creationId xmlns:a16="http://schemas.microsoft.com/office/drawing/2014/main" id="{D9F001EE-E66D-468B-A998-154DB5047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968" name="Picture 1">
          <a:extLst>
            <a:ext uri="{FF2B5EF4-FFF2-40B4-BE49-F238E27FC236}">
              <a16:creationId xmlns:a16="http://schemas.microsoft.com/office/drawing/2014/main" id="{B5134C6D-E48E-4DDF-B403-B779528BC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969" name="Picture 1">
          <a:extLst>
            <a:ext uri="{FF2B5EF4-FFF2-40B4-BE49-F238E27FC236}">
              <a16:creationId xmlns:a16="http://schemas.microsoft.com/office/drawing/2014/main" id="{5BD175C1-9AAA-4DE0-A1B3-46E0CE5F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970" name="Picture 1">
          <a:extLst>
            <a:ext uri="{FF2B5EF4-FFF2-40B4-BE49-F238E27FC236}">
              <a16:creationId xmlns:a16="http://schemas.microsoft.com/office/drawing/2014/main" id="{C2A10BF9-99C1-4B5D-8472-5AC589304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971" name="Picture 1">
          <a:extLst>
            <a:ext uri="{FF2B5EF4-FFF2-40B4-BE49-F238E27FC236}">
              <a16:creationId xmlns:a16="http://schemas.microsoft.com/office/drawing/2014/main" id="{CFA97A59-CDBB-45D6-9B9B-3C8CD6E8F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972" name="Picture 1">
          <a:extLst>
            <a:ext uri="{FF2B5EF4-FFF2-40B4-BE49-F238E27FC236}">
              <a16:creationId xmlns:a16="http://schemas.microsoft.com/office/drawing/2014/main" id="{29A10214-5947-4DDE-B992-E9285BE8E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973" name="Picture 1">
          <a:extLst>
            <a:ext uri="{FF2B5EF4-FFF2-40B4-BE49-F238E27FC236}">
              <a16:creationId xmlns:a16="http://schemas.microsoft.com/office/drawing/2014/main" id="{580A56C4-779B-4246-AFE6-FFDE65D77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974" name="Picture 1">
          <a:extLst>
            <a:ext uri="{FF2B5EF4-FFF2-40B4-BE49-F238E27FC236}">
              <a16:creationId xmlns:a16="http://schemas.microsoft.com/office/drawing/2014/main" id="{5DACBC15-95C6-481A-97FD-F161B6471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975" name="Picture 1">
          <a:extLst>
            <a:ext uri="{FF2B5EF4-FFF2-40B4-BE49-F238E27FC236}">
              <a16:creationId xmlns:a16="http://schemas.microsoft.com/office/drawing/2014/main" id="{1615F9E6-5F08-4645-BCD1-9FCEFCD92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976" name="Picture 1">
          <a:extLst>
            <a:ext uri="{FF2B5EF4-FFF2-40B4-BE49-F238E27FC236}">
              <a16:creationId xmlns:a16="http://schemas.microsoft.com/office/drawing/2014/main" id="{A327771A-0115-4122-8E3A-E8F5124A0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977" name="Picture 1">
          <a:extLst>
            <a:ext uri="{FF2B5EF4-FFF2-40B4-BE49-F238E27FC236}">
              <a16:creationId xmlns:a16="http://schemas.microsoft.com/office/drawing/2014/main" id="{68F26FDC-5BDD-4113-9EE6-F66E24331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978" name="Picture 1">
          <a:extLst>
            <a:ext uri="{FF2B5EF4-FFF2-40B4-BE49-F238E27FC236}">
              <a16:creationId xmlns:a16="http://schemas.microsoft.com/office/drawing/2014/main" id="{4D3A6987-7513-426A-ACE1-AB5A659BE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979" name="Picture 1">
          <a:extLst>
            <a:ext uri="{FF2B5EF4-FFF2-40B4-BE49-F238E27FC236}">
              <a16:creationId xmlns:a16="http://schemas.microsoft.com/office/drawing/2014/main" id="{1232063F-C6AB-4E9B-AA80-93FE7393F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980" name="Picture 1">
          <a:extLst>
            <a:ext uri="{FF2B5EF4-FFF2-40B4-BE49-F238E27FC236}">
              <a16:creationId xmlns:a16="http://schemas.microsoft.com/office/drawing/2014/main" id="{E8A5369B-02BC-4F6A-9098-02C4CB523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981" name="Picture 1">
          <a:extLst>
            <a:ext uri="{FF2B5EF4-FFF2-40B4-BE49-F238E27FC236}">
              <a16:creationId xmlns:a16="http://schemas.microsoft.com/office/drawing/2014/main" id="{131DB00C-7C18-4462-A0B0-73320907D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982" name="Picture 1">
          <a:extLst>
            <a:ext uri="{FF2B5EF4-FFF2-40B4-BE49-F238E27FC236}">
              <a16:creationId xmlns:a16="http://schemas.microsoft.com/office/drawing/2014/main" id="{C171B5F4-D280-4940-AC79-A63B1D1C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983" name="Picture 1">
          <a:extLst>
            <a:ext uri="{FF2B5EF4-FFF2-40B4-BE49-F238E27FC236}">
              <a16:creationId xmlns:a16="http://schemas.microsoft.com/office/drawing/2014/main" id="{E2930523-F9D9-4C60-A4F7-6E0B48C87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984" name="Picture 1">
          <a:extLst>
            <a:ext uri="{FF2B5EF4-FFF2-40B4-BE49-F238E27FC236}">
              <a16:creationId xmlns:a16="http://schemas.microsoft.com/office/drawing/2014/main" id="{68F13E4A-F9E9-4F46-A13F-8A2200F1B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985" name="Picture 1">
          <a:extLst>
            <a:ext uri="{FF2B5EF4-FFF2-40B4-BE49-F238E27FC236}">
              <a16:creationId xmlns:a16="http://schemas.microsoft.com/office/drawing/2014/main" id="{C7364D56-1DD4-42D6-84FA-64930AB3F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986" name="Picture 1">
          <a:extLst>
            <a:ext uri="{FF2B5EF4-FFF2-40B4-BE49-F238E27FC236}">
              <a16:creationId xmlns:a16="http://schemas.microsoft.com/office/drawing/2014/main" id="{99E99F4F-558F-4D89-86DE-D4461DAC6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987" name="Picture 1">
          <a:extLst>
            <a:ext uri="{FF2B5EF4-FFF2-40B4-BE49-F238E27FC236}">
              <a16:creationId xmlns:a16="http://schemas.microsoft.com/office/drawing/2014/main" id="{7BEA3BF2-D14D-4F8B-A4F6-B2C616217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988" name="Picture 1">
          <a:extLst>
            <a:ext uri="{FF2B5EF4-FFF2-40B4-BE49-F238E27FC236}">
              <a16:creationId xmlns:a16="http://schemas.microsoft.com/office/drawing/2014/main" id="{FB2A4692-5854-4613-964E-F7D8DC020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989" name="Picture 1">
          <a:extLst>
            <a:ext uri="{FF2B5EF4-FFF2-40B4-BE49-F238E27FC236}">
              <a16:creationId xmlns:a16="http://schemas.microsoft.com/office/drawing/2014/main" id="{DFDF5278-C984-488D-A988-CCB244B67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990" name="Picture 1">
          <a:extLst>
            <a:ext uri="{FF2B5EF4-FFF2-40B4-BE49-F238E27FC236}">
              <a16:creationId xmlns:a16="http://schemas.microsoft.com/office/drawing/2014/main" id="{D5DD8A9A-E464-47EF-A220-947D38F55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991" name="Picture 1">
          <a:extLst>
            <a:ext uri="{FF2B5EF4-FFF2-40B4-BE49-F238E27FC236}">
              <a16:creationId xmlns:a16="http://schemas.microsoft.com/office/drawing/2014/main" id="{CCD60BA6-8B67-4FC1-BCE9-35527549C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992" name="Picture 1">
          <a:extLst>
            <a:ext uri="{FF2B5EF4-FFF2-40B4-BE49-F238E27FC236}">
              <a16:creationId xmlns:a16="http://schemas.microsoft.com/office/drawing/2014/main" id="{F16409A9-8A66-4BAB-98F8-C29AE1238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993" name="Picture 1">
          <a:extLst>
            <a:ext uri="{FF2B5EF4-FFF2-40B4-BE49-F238E27FC236}">
              <a16:creationId xmlns:a16="http://schemas.microsoft.com/office/drawing/2014/main" id="{F72FE483-7F88-493B-B61B-C0D38F8C4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994" name="Picture 1">
          <a:extLst>
            <a:ext uri="{FF2B5EF4-FFF2-40B4-BE49-F238E27FC236}">
              <a16:creationId xmlns:a16="http://schemas.microsoft.com/office/drawing/2014/main" id="{B15DCF7D-5143-49D3-9460-A0D4F6857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995" name="Picture 1">
          <a:extLst>
            <a:ext uri="{FF2B5EF4-FFF2-40B4-BE49-F238E27FC236}">
              <a16:creationId xmlns:a16="http://schemas.microsoft.com/office/drawing/2014/main" id="{E6C7302B-4C01-4863-82D2-344854D8C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996" name="Picture 1">
          <a:extLst>
            <a:ext uri="{FF2B5EF4-FFF2-40B4-BE49-F238E27FC236}">
              <a16:creationId xmlns:a16="http://schemas.microsoft.com/office/drawing/2014/main" id="{ACCA3BEE-0B56-4A4C-8AA5-8D4B51D71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997" name="Picture 1">
          <a:extLst>
            <a:ext uri="{FF2B5EF4-FFF2-40B4-BE49-F238E27FC236}">
              <a16:creationId xmlns:a16="http://schemas.microsoft.com/office/drawing/2014/main" id="{0186FAA9-F8C2-4CDE-9D1A-DFA79C9C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998" name="Picture 1">
          <a:extLst>
            <a:ext uri="{FF2B5EF4-FFF2-40B4-BE49-F238E27FC236}">
              <a16:creationId xmlns:a16="http://schemas.microsoft.com/office/drawing/2014/main" id="{B80467D3-CE2D-4F54-9E1A-9716435CF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999" name="Picture 1">
          <a:extLst>
            <a:ext uri="{FF2B5EF4-FFF2-40B4-BE49-F238E27FC236}">
              <a16:creationId xmlns:a16="http://schemas.microsoft.com/office/drawing/2014/main" id="{F0AEC446-BA38-42D7-900F-F85EFC90E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000" name="Picture 1">
          <a:extLst>
            <a:ext uri="{FF2B5EF4-FFF2-40B4-BE49-F238E27FC236}">
              <a16:creationId xmlns:a16="http://schemas.microsoft.com/office/drawing/2014/main" id="{B682D04D-4073-4A37-8550-D58409148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001" name="Picture 1">
          <a:extLst>
            <a:ext uri="{FF2B5EF4-FFF2-40B4-BE49-F238E27FC236}">
              <a16:creationId xmlns:a16="http://schemas.microsoft.com/office/drawing/2014/main" id="{233318EC-F7FF-4D07-BB61-2456F6324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002" name="Picture 1">
          <a:extLst>
            <a:ext uri="{FF2B5EF4-FFF2-40B4-BE49-F238E27FC236}">
              <a16:creationId xmlns:a16="http://schemas.microsoft.com/office/drawing/2014/main" id="{3B53FEE5-F9D1-43DB-8BD0-6FAE837C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003" name="Picture 1">
          <a:extLst>
            <a:ext uri="{FF2B5EF4-FFF2-40B4-BE49-F238E27FC236}">
              <a16:creationId xmlns:a16="http://schemas.microsoft.com/office/drawing/2014/main" id="{C1643E85-42C0-47D4-8F2B-F6C78392F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004" name="Picture 1">
          <a:extLst>
            <a:ext uri="{FF2B5EF4-FFF2-40B4-BE49-F238E27FC236}">
              <a16:creationId xmlns:a16="http://schemas.microsoft.com/office/drawing/2014/main" id="{EBEB69E9-AF29-4458-8140-9BACCA239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005" name="Picture 1">
          <a:extLst>
            <a:ext uri="{FF2B5EF4-FFF2-40B4-BE49-F238E27FC236}">
              <a16:creationId xmlns:a16="http://schemas.microsoft.com/office/drawing/2014/main" id="{BCB61E79-EE53-4D39-AC0B-3D7942073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006" name="Picture 1">
          <a:extLst>
            <a:ext uri="{FF2B5EF4-FFF2-40B4-BE49-F238E27FC236}">
              <a16:creationId xmlns:a16="http://schemas.microsoft.com/office/drawing/2014/main" id="{69C0A70F-E41E-4D19-A312-94DAE0105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007" name="Picture 1">
          <a:extLst>
            <a:ext uri="{FF2B5EF4-FFF2-40B4-BE49-F238E27FC236}">
              <a16:creationId xmlns:a16="http://schemas.microsoft.com/office/drawing/2014/main" id="{FAA776A5-1723-4AB4-A619-B4A36040C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008" name="Picture 1">
          <a:extLst>
            <a:ext uri="{FF2B5EF4-FFF2-40B4-BE49-F238E27FC236}">
              <a16:creationId xmlns:a16="http://schemas.microsoft.com/office/drawing/2014/main" id="{3EFEB7F5-968E-494C-BD0B-645B14CE3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009" name="Picture 1">
          <a:extLst>
            <a:ext uri="{FF2B5EF4-FFF2-40B4-BE49-F238E27FC236}">
              <a16:creationId xmlns:a16="http://schemas.microsoft.com/office/drawing/2014/main" id="{B259C3A6-B0D5-477D-B982-647805A9E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010" name="Picture 1">
          <a:extLst>
            <a:ext uri="{FF2B5EF4-FFF2-40B4-BE49-F238E27FC236}">
              <a16:creationId xmlns:a16="http://schemas.microsoft.com/office/drawing/2014/main" id="{168F13F4-A8B1-4992-AFE2-8BBEB01BA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011" name="Picture 1">
          <a:extLst>
            <a:ext uri="{FF2B5EF4-FFF2-40B4-BE49-F238E27FC236}">
              <a16:creationId xmlns:a16="http://schemas.microsoft.com/office/drawing/2014/main" id="{A4C49365-A034-45FE-9793-3E8D041B8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012" name="Picture 1">
          <a:extLst>
            <a:ext uri="{FF2B5EF4-FFF2-40B4-BE49-F238E27FC236}">
              <a16:creationId xmlns:a16="http://schemas.microsoft.com/office/drawing/2014/main" id="{F3CC3537-5709-4DC3-84A0-16C92312E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013" name="Picture 1">
          <a:extLst>
            <a:ext uri="{FF2B5EF4-FFF2-40B4-BE49-F238E27FC236}">
              <a16:creationId xmlns:a16="http://schemas.microsoft.com/office/drawing/2014/main" id="{D53870CB-FE51-4917-AC9D-FFC077576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014" name="Picture 1">
          <a:extLst>
            <a:ext uri="{FF2B5EF4-FFF2-40B4-BE49-F238E27FC236}">
              <a16:creationId xmlns:a16="http://schemas.microsoft.com/office/drawing/2014/main" id="{F10D18FD-D63F-409B-968C-B4A4900CA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015" name="Picture 1">
          <a:extLst>
            <a:ext uri="{FF2B5EF4-FFF2-40B4-BE49-F238E27FC236}">
              <a16:creationId xmlns:a16="http://schemas.microsoft.com/office/drawing/2014/main" id="{E1E4CBD5-43EF-4834-A7BA-10A08836C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016" name="Picture 1">
          <a:extLst>
            <a:ext uri="{FF2B5EF4-FFF2-40B4-BE49-F238E27FC236}">
              <a16:creationId xmlns:a16="http://schemas.microsoft.com/office/drawing/2014/main" id="{DE7F6653-6226-40D1-A70C-0597FD2FF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017" name="Picture 1">
          <a:extLst>
            <a:ext uri="{FF2B5EF4-FFF2-40B4-BE49-F238E27FC236}">
              <a16:creationId xmlns:a16="http://schemas.microsoft.com/office/drawing/2014/main" id="{D700F416-4CAE-4F44-A8CF-676C48CF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018" name="Picture 1">
          <a:extLst>
            <a:ext uri="{FF2B5EF4-FFF2-40B4-BE49-F238E27FC236}">
              <a16:creationId xmlns:a16="http://schemas.microsoft.com/office/drawing/2014/main" id="{C94C273D-5866-4B09-B0C1-D85650B57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019" name="Picture 1">
          <a:extLst>
            <a:ext uri="{FF2B5EF4-FFF2-40B4-BE49-F238E27FC236}">
              <a16:creationId xmlns:a16="http://schemas.microsoft.com/office/drawing/2014/main" id="{C998F512-50DA-4484-A166-2C4C58B23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020" name="Picture 1">
          <a:extLst>
            <a:ext uri="{FF2B5EF4-FFF2-40B4-BE49-F238E27FC236}">
              <a16:creationId xmlns:a16="http://schemas.microsoft.com/office/drawing/2014/main" id="{8F05E037-D8A0-44EF-9B8A-B754002C6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021" name="Picture 1">
          <a:extLst>
            <a:ext uri="{FF2B5EF4-FFF2-40B4-BE49-F238E27FC236}">
              <a16:creationId xmlns:a16="http://schemas.microsoft.com/office/drawing/2014/main" id="{42C5E483-4105-471D-8A56-02885C5E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022" name="Picture 1">
          <a:extLst>
            <a:ext uri="{FF2B5EF4-FFF2-40B4-BE49-F238E27FC236}">
              <a16:creationId xmlns:a16="http://schemas.microsoft.com/office/drawing/2014/main" id="{15198513-2D13-461D-8CE5-89E9E36C4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023" name="Picture 1">
          <a:extLst>
            <a:ext uri="{FF2B5EF4-FFF2-40B4-BE49-F238E27FC236}">
              <a16:creationId xmlns:a16="http://schemas.microsoft.com/office/drawing/2014/main" id="{FCB53938-D39A-4F45-B362-ECB715152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024" name="Picture 1">
          <a:extLst>
            <a:ext uri="{FF2B5EF4-FFF2-40B4-BE49-F238E27FC236}">
              <a16:creationId xmlns:a16="http://schemas.microsoft.com/office/drawing/2014/main" id="{8215467E-2435-4523-AFA6-B6B407C08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25" name="Picture 1">
          <a:extLst>
            <a:ext uri="{FF2B5EF4-FFF2-40B4-BE49-F238E27FC236}">
              <a16:creationId xmlns:a16="http://schemas.microsoft.com/office/drawing/2014/main" id="{F6892DCD-A8BE-4FCB-80A3-C724D5167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26" name="Picture 1">
          <a:extLst>
            <a:ext uri="{FF2B5EF4-FFF2-40B4-BE49-F238E27FC236}">
              <a16:creationId xmlns:a16="http://schemas.microsoft.com/office/drawing/2014/main" id="{08D6EA61-0287-41B4-B315-91DD2FE4B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27" name="Picture 1">
          <a:extLst>
            <a:ext uri="{FF2B5EF4-FFF2-40B4-BE49-F238E27FC236}">
              <a16:creationId xmlns:a16="http://schemas.microsoft.com/office/drawing/2014/main" id="{5C4CCC13-AD20-46CC-A25D-317C3EB19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28" name="Picture 1">
          <a:extLst>
            <a:ext uri="{FF2B5EF4-FFF2-40B4-BE49-F238E27FC236}">
              <a16:creationId xmlns:a16="http://schemas.microsoft.com/office/drawing/2014/main" id="{97D6B17B-FAEB-4B91-8F0C-F85F44193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29" name="Picture 1">
          <a:extLst>
            <a:ext uri="{FF2B5EF4-FFF2-40B4-BE49-F238E27FC236}">
              <a16:creationId xmlns:a16="http://schemas.microsoft.com/office/drawing/2014/main" id="{64A5FE32-34D3-446B-8EDF-3537F6431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30" name="Picture 1">
          <a:extLst>
            <a:ext uri="{FF2B5EF4-FFF2-40B4-BE49-F238E27FC236}">
              <a16:creationId xmlns:a16="http://schemas.microsoft.com/office/drawing/2014/main" id="{B95F3EE7-C204-44AC-A9EC-766665B4E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31" name="Picture 1">
          <a:extLst>
            <a:ext uri="{FF2B5EF4-FFF2-40B4-BE49-F238E27FC236}">
              <a16:creationId xmlns:a16="http://schemas.microsoft.com/office/drawing/2014/main" id="{CE799562-D94F-46CC-9AB7-021F6EEFA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32" name="Picture 1">
          <a:extLst>
            <a:ext uri="{FF2B5EF4-FFF2-40B4-BE49-F238E27FC236}">
              <a16:creationId xmlns:a16="http://schemas.microsoft.com/office/drawing/2014/main" id="{F1462E50-9A7C-4E9D-AF13-7ED296C61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33" name="Picture 1">
          <a:extLst>
            <a:ext uri="{FF2B5EF4-FFF2-40B4-BE49-F238E27FC236}">
              <a16:creationId xmlns:a16="http://schemas.microsoft.com/office/drawing/2014/main" id="{17572276-DEC0-4A44-A895-8888A9BEA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34" name="Picture 1">
          <a:extLst>
            <a:ext uri="{FF2B5EF4-FFF2-40B4-BE49-F238E27FC236}">
              <a16:creationId xmlns:a16="http://schemas.microsoft.com/office/drawing/2014/main" id="{48F708A8-E0BA-463A-B08A-3903E937D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35" name="Picture 1">
          <a:extLst>
            <a:ext uri="{FF2B5EF4-FFF2-40B4-BE49-F238E27FC236}">
              <a16:creationId xmlns:a16="http://schemas.microsoft.com/office/drawing/2014/main" id="{36EA0800-F0B4-4D0B-A761-6353277F4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36" name="Picture 1">
          <a:extLst>
            <a:ext uri="{FF2B5EF4-FFF2-40B4-BE49-F238E27FC236}">
              <a16:creationId xmlns:a16="http://schemas.microsoft.com/office/drawing/2014/main" id="{CD2ADD80-2B99-4071-AF2A-62A3F3803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37" name="Picture 1">
          <a:extLst>
            <a:ext uri="{FF2B5EF4-FFF2-40B4-BE49-F238E27FC236}">
              <a16:creationId xmlns:a16="http://schemas.microsoft.com/office/drawing/2014/main" id="{58C62B1B-F86C-45F4-B424-D2D2DE0C7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38" name="Picture 1">
          <a:extLst>
            <a:ext uri="{FF2B5EF4-FFF2-40B4-BE49-F238E27FC236}">
              <a16:creationId xmlns:a16="http://schemas.microsoft.com/office/drawing/2014/main" id="{F3B0125C-F170-478F-B476-894C491D0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39" name="Picture 1">
          <a:extLst>
            <a:ext uri="{FF2B5EF4-FFF2-40B4-BE49-F238E27FC236}">
              <a16:creationId xmlns:a16="http://schemas.microsoft.com/office/drawing/2014/main" id="{D3E31CD4-64E7-44CF-9FBC-93E03DB58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40" name="Picture 1">
          <a:extLst>
            <a:ext uri="{FF2B5EF4-FFF2-40B4-BE49-F238E27FC236}">
              <a16:creationId xmlns:a16="http://schemas.microsoft.com/office/drawing/2014/main" id="{9363C62F-6E2A-4985-A2B9-05E3956CE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41" name="Picture 1">
          <a:extLst>
            <a:ext uri="{FF2B5EF4-FFF2-40B4-BE49-F238E27FC236}">
              <a16:creationId xmlns:a16="http://schemas.microsoft.com/office/drawing/2014/main" id="{4880FAB8-DF15-4D72-9EC1-AD6B9DE23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42" name="Picture 1">
          <a:extLst>
            <a:ext uri="{FF2B5EF4-FFF2-40B4-BE49-F238E27FC236}">
              <a16:creationId xmlns:a16="http://schemas.microsoft.com/office/drawing/2014/main" id="{78348642-CC2C-4773-96CE-D84B79AA3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43" name="Picture 1">
          <a:extLst>
            <a:ext uri="{FF2B5EF4-FFF2-40B4-BE49-F238E27FC236}">
              <a16:creationId xmlns:a16="http://schemas.microsoft.com/office/drawing/2014/main" id="{6D4DC5B2-1091-49CB-BED7-6D7264355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44" name="Picture 1">
          <a:extLst>
            <a:ext uri="{FF2B5EF4-FFF2-40B4-BE49-F238E27FC236}">
              <a16:creationId xmlns:a16="http://schemas.microsoft.com/office/drawing/2014/main" id="{36836AB8-154E-4DF1-9F13-DE7C77F84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45" name="Picture 1">
          <a:extLst>
            <a:ext uri="{FF2B5EF4-FFF2-40B4-BE49-F238E27FC236}">
              <a16:creationId xmlns:a16="http://schemas.microsoft.com/office/drawing/2014/main" id="{BEBF00DC-0404-436F-8A29-FD2888F66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46" name="Picture 1">
          <a:extLst>
            <a:ext uri="{FF2B5EF4-FFF2-40B4-BE49-F238E27FC236}">
              <a16:creationId xmlns:a16="http://schemas.microsoft.com/office/drawing/2014/main" id="{8BA3F769-5EC4-4482-8924-A7737D2D7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47" name="Picture 1">
          <a:extLst>
            <a:ext uri="{FF2B5EF4-FFF2-40B4-BE49-F238E27FC236}">
              <a16:creationId xmlns:a16="http://schemas.microsoft.com/office/drawing/2014/main" id="{F9E21C6D-BC0D-4AB5-956C-36FF5356F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48" name="Picture 1">
          <a:extLst>
            <a:ext uri="{FF2B5EF4-FFF2-40B4-BE49-F238E27FC236}">
              <a16:creationId xmlns:a16="http://schemas.microsoft.com/office/drawing/2014/main" id="{E4694CA3-E460-44B3-9A0B-F02DF5E9A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49" name="Picture 1">
          <a:extLst>
            <a:ext uri="{FF2B5EF4-FFF2-40B4-BE49-F238E27FC236}">
              <a16:creationId xmlns:a16="http://schemas.microsoft.com/office/drawing/2014/main" id="{8AAA409A-B2AE-4A92-A220-30070C416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50" name="Picture 1">
          <a:extLst>
            <a:ext uri="{FF2B5EF4-FFF2-40B4-BE49-F238E27FC236}">
              <a16:creationId xmlns:a16="http://schemas.microsoft.com/office/drawing/2014/main" id="{9AAECA93-B7C6-4779-A333-9486D2226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51" name="Picture 1">
          <a:extLst>
            <a:ext uri="{FF2B5EF4-FFF2-40B4-BE49-F238E27FC236}">
              <a16:creationId xmlns:a16="http://schemas.microsoft.com/office/drawing/2014/main" id="{1858675A-4A30-4EED-8236-19F848953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52" name="Picture 1">
          <a:extLst>
            <a:ext uri="{FF2B5EF4-FFF2-40B4-BE49-F238E27FC236}">
              <a16:creationId xmlns:a16="http://schemas.microsoft.com/office/drawing/2014/main" id="{6AD3D74B-3CE7-431A-8822-F8E3C82C3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53" name="Picture 1">
          <a:extLst>
            <a:ext uri="{FF2B5EF4-FFF2-40B4-BE49-F238E27FC236}">
              <a16:creationId xmlns:a16="http://schemas.microsoft.com/office/drawing/2014/main" id="{6BB8CF4B-53F4-4CB9-9A3E-702865159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54" name="Picture 1">
          <a:extLst>
            <a:ext uri="{FF2B5EF4-FFF2-40B4-BE49-F238E27FC236}">
              <a16:creationId xmlns:a16="http://schemas.microsoft.com/office/drawing/2014/main" id="{494C8663-0F04-49DC-890C-1EBEA0EE0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55" name="Picture 1">
          <a:extLst>
            <a:ext uri="{FF2B5EF4-FFF2-40B4-BE49-F238E27FC236}">
              <a16:creationId xmlns:a16="http://schemas.microsoft.com/office/drawing/2014/main" id="{C3297610-42BC-4BD5-AC8D-680C79684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56" name="Picture 1">
          <a:extLst>
            <a:ext uri="{FF2B5EF4-FFF2-40B4-BE49-F238E27FC236}">
              <a16:creationId xmlns:a16="http://schemas.microsoft.com/office/drawing/2014/main" id="{A59014F7-27F5-45EA-8C8C-CFD3442E3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107</xdr:row>
      <xdr:rowOff>144360</xdr:rowOff>
    </xdr:from>
    <xdr:ext cx="1294920" cy="57240"/>
    <xdr:pic>
      <xdr:nvPicPr>
        <xdr:cNvPr id="1057" name="Picture 1">
          <a:extLst>
            <a:ext uri="{FF2B5EF4-FFF2-40B4-BE49-F238E27FC236}">
              <a16:creationId xmlns:a16="http://schemas.microsoft.com/office/drawing/2014/main" id="{AC4B398C-ADDA-4F5F-A107-8B9589C27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470835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58" name="Picture 1">
          <a:extLst>
            <a:ext uri="{FF2B5EF4-FFF2-40B4-BE49-F238E27FC236}">
              <a16:creationId xmlns:a16="http://schemas.microsoft.com/office/drawing/2014/main" id="{1D9332A7-882C-4C50-AA25-ACA68792A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59" name="Picture 1">
          <a:extLst>
            <a:ext uri="{FF2B5EF4-FFF2-40B4-BE49-F238E27FC236}">
              <a16:creationId xmlns:a16="http://schemas.microsoft.com/office/drawing/2014/main" id="{665A634C-B985-4C9C-843C-800428524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60" name="Picture 1">
          <a:extLst>
            <a:ext uri="{FF2B5EF4-FFF2-40B4-BE49-F238E27FC236}">
              <a16:creationId xmlns:a16="http://schemas.microsoft.com/office/drawing/2014/main" id="{5C3CCD41-1D5D-4C87-A691-E82DD1D39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61" name="Picture 1">
          <a:extLst>
            <a:ext uri="{FF2B5EF4-FFF2-40B4-BE49-F238E27FC236}">
              <a16:creationId xmlns:a16="http://schemas.microsoft.com/office/drawing/2014/main" id="{3725C999-169C-428D-83BB-B96323CCA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62" name="Picture 1">
          <a:extLst>
            <a:ext uri="{FF2B5EF4-FFF2-40B4-BE49-F238E27FC236}">
              <a16:creationId xmlns:a16="http://schemas.microsoft.com/office/drawing/2014/main" id="{37350CB4-1277-4B0C-8463-B0C1281C3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63" name="Picture 1">
          <a:extLst>
            <a:ext uri="{FF2B5EF4-FFF2-40B4-BE49-F238E27FC236}">
              <a16:creationId xmlns:a16="http://schemas.microsoft.com/office/drawing/2014/main" id="{D8E122CC-AE8A-4279-AE07-5FC9670F7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64" name="Picture 1">
          <a:extLst>
            <a:ext uri="{FF2B5EF4-FFF2-40B4-BE49-F238E27FC236}">
              <a16:creationId xmlns:a16="http://schemas.microsoft.com/office/drawing/2014/main" id="{BB3364E8-48E7-4FC4-8E3B-7D04B1B5D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65" name="Picture 1">
          <a:extLst>
            <a:ext uri="{FF2B5EF4-FFF2-40B4-BE49-F238E27FC236}">
              <a16:creationId xmlns:a16="http://schemas.microsoft.com/office/drawing/2014/main" id="{CC8937D8-4154-4206-B3F1-95B82E92A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66" name="Picture 1">
          <a:extLst>
            <a:ext uri="{FF2B5EF4-FFF2-40B4-BE49-F238E27FC236}">
              <a16:creationId xmlns:a16="http://schemas.microsoft.com/office/drawing/2014/main" id="{69FE9835-A349-4549-BB98-A25E636ED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67" name="Picture 1">
          <a:extLst>
            <a:ext uri="{FF2B5EF4-FFF2-40B4-BE49-F238E27FC236}">
              <a16:creationId xmlns:a16="http://schemas.microsoft.com/office/drawing/2014/main" id="{EF85C000-51F9-45EE-8764-85FA1E800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68" name="Picture 1">
          <a:extLst>
            <a:ext uri="{FF2B5EF4-FFF2-40B4-BE49-F238E27FC236}">
              <a16:creationId xmlns:a16="http://schemas.microsoft.com/office/drawing/2014/main" id="{83BB1AB3-096E-4231-BB67-6836F4B8B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69" name="Picture 1">
          <a:extLst>
            <a:ext uri="{FF2B5EF4-FFF2-40B4-BE49-F238E27FC236}">
              <a16:creationId xmlns:a16="http://schemas.microsoft.com/office/drawing/2014/main" id="{DAC458BB-CADA-4103-A98D-A39F718B4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70" name="Picture 1">
          <a:extLst>
            <a:ext uri="{FF2B5EF4-FFF2-40B4-BE49-F238E27FC236}">
              <a16:creationId xmlns:a16="http://schemas.microsoft.com/office/drawing/2014/main" id="{6C44F32B-4B13-4AC2-AF2D-43A0981EF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71" name="Picture 1">
          <a:extLst>
            <a:ext uri="{FF2B5EF4-FFF2-40B4-BE49-F238E27FC236}">
              <a16:creationId xmlns:a16="http://schemas.microsoft.com/office/drawing/2014/main" id="{6491E95D-AE02-44A3-A3A5-57814F675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72" name="Picture 1">
          <a:extLst>
            <a:ext uri="{FF2B5EF4-FFF2-40B4-BE49-F238E27FC236}">
              <a16:creationId xmlns:a16="http://schemas.microsoft.com/office/drawing/2014/main" id="{74E746EE-2A31-40AE-BE52-79B75BD8D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73" name="Picture 1">
          <a:extLst>
            <a:ext uri="{FF2B5EF4-FFF2-40B4-BE49-F238E27FC236}">
              <a16:creationId xmlns:a16="http://schemas.microsoft.com/office/drawing/2014/main" id="{A2E173AD-3012-4908-840F-53F7D9BFE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74" name="Picture 1">
          <a:extLst>
            <a:ext uri="{FF2B5EF4-FFF2-40B4-BE49-F238E27FC236}">
              <a16:creationId xmlns:a16="http://schemas.microsoft.com/office/drawing/2014/main" id="{F4D51A7C-F353-40DE-AA65-639ABA33A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75" name="Picture 1">
          <a:extLst>
            <a:ext uri="{FF2B5EF4-FFF2-40B4-BE49-F238E27FC236}">
              <a16:creationId xmlns:a16="http://schemas.microsoft.com/office/drawing/2014/main" id="{C703645E-33FD-4AEC-A854-2AA0C9A14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76" name="Picture 1">
          <a:extLst>
            <a:ext uri="{FF2B5EF4-FFF2-40B4-BE49-F238E27FC236}">
              <a16:creationId xmlns:a16="http://schemas.microsoft.com/office/drawing/2014/main" id="{AD95D882-10B7-47C1-95C2-06BC1A19C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77" name="Picture 1">
          <a:extLst>
            <a:ext uri="{FF2B5EF4-FFF2-40B4-BE49-F238E27FC236}">
              <a16:creationId xmlns:a16="http://schemas.microsoft.com/office/drawing/2014/main" id="{474ED85E-9A46-4E66-8DC3-2051DAD4A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78" name="Picture 1">
          <a:extLst>
            <a:ext uri="{FF2B5EF4-FFF2-40B4-BE49-F238E27FC236}">
              <a16:creationId xmlns:a16="http://schemas.microsoft.com/office/drawing/2014/main" id="{30291832-0F38-46A7-A157-516C266BE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79" name="Picture 1">
          <a:extLst>
            <a:ext uri="{FF2B5EF4-FFF2-40B4-BE49-F238E27FC236}">
              <a16:creationId xmlns:a16="http://schemas.microsoft.com/office/drawing/2014/main" id="{FB43B7BE-5835-462E-92B5-F0B0E94D7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80" name="Picture 1">
          <a:extLst>
            <a:ext uri="{FF2B5EF4-FFF2-40B4-BE49-F238E27FC236}">
              <a16:creationId xmlns:a16="http://schemas.microsoft.com/office/drawing/2014/main" id="{10230F08-E861-49B1-A629-07CBCB64B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81" name="Picture 1">
          <a:extLst>
            <a:ext uri="{FF2B5EF4-FFF2-40B4-BE49-F238E27FC236}">
              <a16:creationId xmlns:a16="http://schemas.microsoft.com/office/drawing/2014/main" id="{76673896-21E6-4404-AC2B-4EF636C94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82" name="Picture 1">
          <a:extLst>
            <a:ext uri="{FF2B5EF4-FFF2-40B4-BE49-F238E27FC236}">
              <a16:creationId xmlns:a16="http://schemas.microsoft.com/office/drawing/2014/main" id="{8DCE34A6-97B4-4A89-8259-29574853F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83" name="Picture 1">
          <a:extLst>
            <a:ext uri="{FF2B5EF4-FFF2-40B4-BE49-F238E27FC236}">
              <a16:creationId xmlns:a16="http://schemas.microsoft.com/office/drawing/2014/main" id="{396D1337-0938-45EB-9D74-DF3258FB7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84" name="Picture 1">
          <a:extLst>
            <a:ext uri="{FF2B5EF4-FFF2-40B4-BE49-F238E27FC236}">
              <a16:creationId xmlns:a16="http://schemas.microsoft.com/office/drawing/2014/main" id="{E6F61A9F-643C-4A18-89A7-D47DB02AF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85" name="Picture 1">
          <a:extLst>
            <a:ext uri="{FF2B5EF4-FFF2-40B4-BE49-F238E27FC236}">
              <a16:creationId xmlns:a16="http://schemas.microsoft.com/office/drawing/2014/main" id="{78828792-1C07-4F62-972C-1A9D16ECC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86" name="Picture 1">
          <a:extLst>
            <a:ext uri="{FF2B5EF4-FFF2-40B4-BE49-F238E27FC236}">
              <a16:creationId xmlns:a16="http://schemas.microsoft.com/office/drawing/2014/main" id="{EE7594D7-99B9-4AE3-8DDA-F4F36C844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87" name="Picture 1">
          <a:extLst>
            <a:ext uri="{FF2B5EF4-FFF2-40B4-BE49-F238E27FC236}">
              <a16:creationId xmlns:a16="http://schemas.microsoft.com/office/drawing/2014/main" id="{D640040A-42AF-44F3-9F6C-D701B0B6D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108</xdr:row>
      <xdr:rowOff>144000</xdr:rowOff>
    </xdr:from>
    <xdr:ext cx="1294920" cy="57960"/>
    <xdr:pic>
      <xdr:nvPicPr>
        <xdr:cNvPr id="1088" name="Picture 1">
          <a:extLst>
            <a:ext uri="{FF2B5EF4-FFF2-40B4-BE49-F238E27FC236}">
              <a16:creationId xmlns:a16="http://schemas.microsoft.com/office/drawing/2014/main" id="{076C652A-5221-4568-83FB-BE79F6DFD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6514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89" name="Picture 1">
          <a:extLst>
            <a:ext uri="{FF2B5EF4-FFF2-40B4-BE49-F238E27FC236}">
              <a16:creationId xmlns:a16="http://schemas.microsoft.com/office/drawing/2014/main" id="{C0D5E26B-ABDF-43F1-9144-EDD22DD3D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90" name="Picture 1">
          <a:extLst>
            <a:ext uri="{FF2B5EF4-FFF2-40B4-BE49-F238E27FC236}">
              <a16:creationId xmlns:a16="http://schemas.microsoft.com/office/drawing/2014/main" id="{BBA22CCD-61C8-43FA-B94A-234B4F953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91" name="Picture 1">
          <a:extLst>
            <a:ext uri="{FF2B5EF4-FFF2-40B4-BE49-F238E27FC236}">
              <a16:creationId xmlns:a16="http://schemas.microsoft.com/office/drawing/2014/main" id="{7EF1431B-7378-491F-854E-77635B559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92" name="Picture 1">
          <a:extLst>
            <a:ext uri="{FF2B5EF4-FFF2-40B4-BE49-F238E27FC236}">
              <a16:creationId xmlns:a16="http://schemas.microsoft.com/office/drawing/2014/main" id="{DFB48135-D090-4898-945D-0917ADC46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93" name="Picture 1">
          <a:extLst>
            <a:ext uri="{FF2B5EF4-FFF2-40B4-BE49-F238E27FC236}">
              <a16:creationId xmlns:a16="http://schemas.microsoft.com/office/drawing/2014/main" id="{8003DCDE-4E15-4166-9036-2CFA9A97D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94" name="Picture 1">
          <a:extLst>
            <a:ext uri="{FF2B5EF4-FFF2-40B4-BE49-F238E27FC236}">
              <a16:creationId xmlns:a16="http://schemas.microsoft.com/office/drawing/2014/main" id="{BD643951-7F2E-4E61-9B76-A408CB5AF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95" name="Picture 1">
          <a:extLst>
            <a:ext uri="{FF2B5EF4-FFF2-40B4-BE49-F238E27FC236}">
              <a16:creationId xmlns:a16="http://schemas.microsoft.com/office/drawing/2014/main" id="{EBFC0FEE-2A68-4B9C-B2A8-85EC50AE0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96" name="Picture 1">
          <a:extLst>
            <a:ext uri="{FF2B5EF4-FFF2-40B4-BE49-F238E27FC236}">
              <a16:creationId xmlns:a16="http://schemas.microsoft.com/office/drawing/2014/main" id="{AE1E0A97-3454-4214-9217-F393E56B8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97" name="Picture 1">
          <a:extLst>
            <a:ext uri="{FF2B5EF4-FFF2-40B4-BE49-F238E27FC236}">
              <a16:creationId xmlns:a16="http://schemas.microsoft.com/office/drawing/2014/main" id="{3BE13620-FA70-457F-BA55-3C46ACD07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98" name="Picture 1">
          <a:extLst>
            <a:ext uri="{FF2B5EF4-FFF2-40B4-BE49-F238E27FC236}">
              <a16:creationId xmlns:a16="http://schemas.microsoft.com/office/drawing/2014/main" id="{83E04C24-89C9-4070-8001-745CF6A5B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099" name="Picture 1">
          <a:extLst>
            <a:ext uri="{FF2B5EF4-FFF2-40B4-BE49-F238E27FC236}">
              <a16:creationId xmlns:a16="http://schemas.microsoft.com/office/drawing/2014/main" id="{6183C568-ECBA-449F-9BDB-3716ACCF7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00" name="Picture 1">
          <a:extLst>
            <a:ext uri="{FF2B5EF4-FFF2-40B4-BE49-F238E27FC236}">
              <a16:creationId xmlns:a16="http://schemas.microsoft.com/office/drawing/2014/main" id="{1042A3E2-544D-4C2B-B47D-3C8168A92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01" name="Picture 1">
          <a:extLst>
            <a:ext uri="{FF2B5EF4-FFF2-40B4-BE49-F238E27FC236}">
              <a16:creationId xmlns:a16="http://schemas.microsoft.com/office/drawing/2014/main" id="{76BC206B-141A-493F-B033-AD7672EBD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02" name="Picture 1">
          <a:extLst>
            <a:ext uri="{FF2B5EF4-FFF2-40B4-BE49-F238E27FC236}">
              <a16:creationId xmlns:a16="http://schemas.microsoft.com/office/drawing/2014/main" id="{42FB62D6-A790-4FCF-945A-D24DBBC74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03" name="Picture 1">
          <a:extLst>
            <a:ext uri="{FF2B5EF4-FFF2-40B4-BE49-F238E27FC236}">
              <a16:creationId xmlns:a16="http://schemas.microsoft.com/office/drawing/2014/main" id="{6D32CFA0-7F6E-44CD-8111-9E4181550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04" name="Picture 1">
          <a:extLst>
            <a:ext uri="{FF2B5EF4-FFF2-40B4-BE49-F238E27FC236}">
              <a16:creationId xmlns:a16="http://schemas.microsoft.com/office/drawing/2014/main" id="{3D7141F6-428E-46B9-A278-F390072B9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05" name="Picture 1">
          <a:extLst>
            <a:ext uri="{FF2B5EF4-FFF2-40B4-BE49-F238E27FC236}">
              <a16:creationId xmlns:a16="http://schemas.microsoft.com/office/drawing/2014/main" id="{3FE96509-C06D-4D05-A4D3-7DE7B0A98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06" name="Picture 1">
          <a:extLst>
            <a:ext uri="{FF2B5EF4-FFF2-40B4-BE49-F238E27FC236}">
              <a16:creationId xmlns:a16="http://schemas.microsoft.com/office/drawing/2014/main" id="{281760FF-8692-48CE-97D0-DF48D95FF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07" name="Picture 1">
          <a:extLst>
            <a:ext uri="{FF2B5EF4-FFF2-40B4-BE49-F238E27FC236}">
              <a16:creationId xmlns:a16="http://schemas.microsoft.com/office/drawing/2014/main" id="{BA3F0375-56E7-42F0-AE35-9E6B64E90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08" name="Picture 1">
          <a:extLst>
            <a:ext uri="{FF2B5EF4-FFF2-40B4-BE49-F238E27FC236}">
              <a16:creationId xmlns:a16="http://schemas.microsoft.com/office/drawing/2014/main" id="{30347F66-09AC-4659-AD0E-C18468804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09" name="Picture 1">
          <a:extLst>
            <a:ext uri="{FF2B5EF4-FFF2-40B4-BE49-F238E27FC236}">
              <a16:creationId xmlns:a16="http://schemas.microsoft.com/office/drawing/2014/main" id="{AC8684BA-A1C4-4403-A76E-D303DF22F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10" name="Picture 1">
          <a:extLst>
            <a:ext uri="{FF2B5EF4-FFF2-40B4-BE49-F238E27FC236}">
              <a16:creationId xmlns:a16="http://schemas.microsoft.com/office/drawing/2014/main" id="{5351C258-3D84-4393-80DE-CB6AF77F4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11" name="Picture 1">
          <a:extLst>
            <a:ext uri="{FF2B5EF4-FFF2-40B4-BE49-F238E27FC236}">
              <a16:creationId xmlns:a16="http://schemas.microsoft.com/office/drawing/2014/main" id="{CB4FEF14-BB49-4494-874D-D5850B08D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12" name="Picture 1">
          <a:extLst>
            <a:ext uri="{FF2B5EF4-FFF2-40B4-BE49-F238E27FC236}">
              <a16:creationId xmlns:a16="http://schemas.microsoft.com/office/drawing/2014/main" id="{CDAD3717-053D-4663-9C4E-29986A626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13" name="Picture 1">
          <a:extLst>
            <a:ext uri="{FF2B5EF4-FFF2-40B4-BE49-F238E27FC236}">
              <a16:creationId xmlns:a16="http://schemas.microsoft.com/office/drawing/2014/main" id="{86E6926C-64DB-4120-BC59-F707174E5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14" name="Picture 1">
          <a:extLst>
            <a:ext uri="{FF2B5EF4-FFF2-40B4-BE49-F238E27FC236}">
              <a16:creationId xmlns:a16="http://schemas.microsoft.com/office/drawing/2014/main" id="{D1E18330-8988-49F5-B148-3C376157D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15" name="Picture 1">
          <a:extLst>
            <a:ext uri="{FF2B5EF4-FFF2-40B4-BE49-F238E27FC236}">
              <a16:creationId xmlns:a16="http://schemas.microsoft.com/office/drawing/2014/main" id="{50A412FA-A215-4E56-901F-5882DC3D8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16" name="Picture 1">
          <a:extLst>
            <a:ext uri="{FF2B5EF4-FFF2-40B4-BE49-F238E27FC236}">
              <a16:creationId xmlns:a16="http://schemas.microsoft.com/office/drawing/2014/main" id="{49910131-EF29-41AA-917E-08C0F4494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17" name="Picture 1">
          <a:extLst>
            <a:ext uri="{FF2B5EF4-FFF2-40B4-BE49-F238E27FC236}">
              <a16:creationId xmlns:a16="http://schemas.microsoft.com/office/drawing/2014/main" id="{5BC7BDC1-CAC7-40F3-AB8B-D6C513A0A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18" name="Picture 1">
          <a:extLst>
            <a:ext uri="{FF2B5EF4-FFF2-40B4-BE49-F238E27FC236}">
              <a16:creationId xmlns:a16="http://schemas.microsoft.com/office/drawing/2014/main" id="{40D4F4A3-DE24-4C08-9698-061DB4B80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109</xdr:row>
      <xdr:rowOff>144360</xdr:rowOff>
    </xdr:from>
    <xdr:ext cx="1294920" cy="57240"/>
    <xdr:pic>
      <xdr:nvPicPr>
        <xdr:cNvPr id="1119" name="Picture 1">
          <a:extLst>
            <a:ext uri="{FF2B5EF4-FFF2-40B4-BE49-F238E27FC236}">
              <a16:creationId xmlns:a16="http://schemas.microsoft.com/office/drawing/2014/main" id="{2ABEEF1F-4215-4E94-8680-D800A4DF1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18423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20" name="Picture 1">
          <a:extLst>
            <a:ext uri="{FF2B5EF4-FFF2-40B4-BE49-F238E27FC236}">
              <a16:creationId xmlns:a16="http://schemas.microsoft.com/office/drawing/2014/main" id="{5CA10DFF-DA88-40F1-BFCB-8C56A5B11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21" name="Picture 1">
          <a:extLst>
            <a:ext uri="{FF2B5EF4-FFF2-40B4-BE49-F238E27FC236}">
              <a16:creationId xmlns:a16="http://schemas.microsoft.com/office/drawing/2014/main" id="{CD5B112B-2E33-4077-9C12-0FDA4B1A4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22" name="Picture 1">
          <a:extLst>
            <a:ext uri="{FF2B5EF4-FFF2-40B4-BE49-F238E27FC236}">
              <a16:creationId xmlns:a16="http://schemas.microsoft.com/office/drawing/2014/main" id="{D91EAACB-B156-4AC2-B1BC-ACC64CEFF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23" name="Picture 1">
          <a:extLst>
            <a:ext uri="{FF2B5EF4-FFF2-40B4-BE49-F238E27FC236}">
              <a16:creationId xmlns:a16="http://schemas.microsoft.com/office/drawing/2014/main" id="{13002A4B-B945-442E-83B4-C51D80F55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24" name="Picture 1">
          <a:extLst>
            <a:ext uri="{FF2B5EF4-FFF2-40B4-BE49-F238E27FC236}">
              <a16:creationId xmlns:a16="http://schemas.microsoft.com/office/drawing/2014/main" id="{BAB08598-7F3A-4618-9642-5A9AF6666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25" name="Picture 1">
          <a:extLst>
            <a:ext uri="{FF2B5EF4-FFF2-40B4-BE49-F238E27FC236}">
              <a16:creationId xmlns:a16="http://schemas.microsoft.com/office/drawing/2014/main" id="{8EA3C38F-BD7C-4DB0-925C-AF3F55032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26" name="Picture 1">
          <a:extLst>
            <a:ext uri="{FF2B5EF4-FFF2-40B4-BE49-F238E27FC236}">
              <a16:creationId xmlns:a16="http://schemas.microsoft.com/office/drawing/2014/main" id="{B8D5D3A5-C81E-48FF-B247-44154244D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27" name="Picture 1">
          <a:extLst>
            <a:ext uri="{FF2B5EF4-FFF2-40B4-BE49-F238E27FC236}">
              <a16:creationId xmlns:a16="http://schemas.microsoft.com/office/drawing/2014/main" id="{E12CC1E5-6CF4-420F-8A21-4C3B88AD7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28" name="Picture 1">
          <a:extLst>
            <a:ext uri="{FF2B5EF4-FFF2-40B4-BE49-F238E27FC236}">
              <a16:creationId xmlns:a16="http://schemas.microsoft.com/office/drawing/2014/main" id="{79AC7F2C-751C-4EFD-A5B0-B05F187E7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29" name="Picture 1">
          <a:extLst>
            <a:ext uri="{FF2B5EF4-FFF2-40B4-BE49-F238E27FC236}">
              <a16:creationId xmlns:a16="http://schemas.microsoft.com/office/drawing/2014/main" id="{129101F9-A650-4B8F-81C3-27DC9A83C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30" name="Picture 1">
          <a:extLst>
            <a:ext uri="{FF2B5EF4-FFF2-40B4-BE49-F238E27FC236}">
              <a16:creationId xmlns:a16="http://schemas.microsoft.com/office/drawing/2014/main" id="{940A878B-1BEE-4382-A94F-601FA876D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31" name="Picture 1">
          <a:extLst>
            <a:ext uri="{FF2B5EF4-FFF2-40B4-BE49-F238E27FC236}">
              <a16:creationId xmlns:a16="http://schemas.microsoft.com/office/drawing/2014/main" id="{70330C2F-DD09-40DA-9BFB-1B94FFFCF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32" name="Picture 1">
          <a:extLst>
            <a:ext uri="{FF2B5EF4-FFF2-40B4-BE49-F238E27FC236}">
              <a16:creationId xmlns:a16="http://schemas.microsoft.com/office/drawing/2014/main" id="{8273A0D8-9A78-46E6-BBD0-285730189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33" name="Picture 1">
          <a:extLst>
            <a:ext uri="{FF2B5EF4-FFF2-40B4-BE49-F238E27FC236}">
              <a16:creationId xmlns:a16="http://schemas.microsoft.com/office/drawing/2014/main" id="{22F08933-AEB9-4D40-A207-E1ABA1659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34" name="Picture 1">
          <a:extLst>
            <a:ext uri="{FF2B5EF4-FFF2-40B4-BE49-F238E27FC236}">
              <a16:creationId xmlns:a16="http://schemas.microsoft.com/office/drawing/2014/main" id="{98815659-0046-4C66-8535-AA8E117EC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35" name="Picture 1">
          <a:extLst>
            <a:ext uri="{FF2B5EF4-FFF2-40B4-BE49-F238E27FC236}">
              <a16:creationId xmlns:a16="http://schemas.microsoft.com/office/drawing/2014/main" id="{C3E771A2-C496-4E90-8A5D-04F514696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36" name="Picture 1">
          <a:extLst>
            <a:ext uri="{FF2B5EF4-FFF2-40B4-BE49-F238E27FC236}">
              <a16:creationId xmlns:a16="http://schemas.microsoft.com/office/drawing/2014/main" id="{D0017F3B-E2EF-4F0F-84E2-12FE68AE5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37" name="Picture 1">
          <a:extLst>
            <a:ext uri="{FF2B5EF4-FFF2-40B4-BE49-F238E27FC236}">
              <a16:creationId xmlns:a16="http://schemas.microsoft.com/office/drawing/2014/main" id="{38644EDA-521B-4F05-9727-818CDB49F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38" name="Picture 1">
          <a:extLst>
            <a:ext uri="{FF2B5EF4-FFF2-40B4-BE49-F238E27FC236}">
              <a16:creationId xmlns:a16="http://schemas.microsoft.com/office/drawing/2014/main" id="{FFD162B1-C9AE-4B6B-8369-EAE0164BC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39" name="Picture 1">
          <a:extLst>
            <a:ext uri="{FF2B5EF4-FFF2-40B4-BE49-F238E27FC236}">
              <a16:creationId xmlns:a16="http://schemas.microsoft.com/office/drawing/2014/main" id="{355AC2A7-C61B-462F-85D4-9190BB4AF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40" name="Picture 1">
          <a:extLst>
            <a:ext uri="{FF2B5EF4-FFF2-40B4-BE49-F238E27FC236}">
              <a16:creationId xmlns:a16="http://schemas.microsoft.com/office/drawing/2014/main" id="{660331CD-1B2E-4839-9CE7-6AD56A418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41" name="Picture 1">
          <a:extLst>
            <a:ext uri="{FF2B5EF4-FFF2-40B4-BE49-F238E27FC236}">
              <a16:creationId xmlns:a16="http://schemas.microsoft.com/office/drawing/2014/main" id="{84EB4614-D1D4-460C-A1A7-6E685E3F8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42" name="Picture 1">
          <a:extLst>
            <a:ext uri="{FF2B5EF4-FFF2-40B4-BE49-F238E27FC236}">
              <a16:creationId xmlns:a16="http://schemas.microsoft.com/office/drawing/2014/main" id="{3C6B5253-16B6-4B61-B84B-89D78638B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43" name="Picture 1">
          <a:extLst>
            <a:ext uri="{FF2B5EF4-FFF2-40B4-BE49-F238E27FC236}">
              <a16:creationId xmlns:a16="http://schemas.microsoft.com/office/drawing/2014/main" id="{31D34938-C231-4A33-8825-CB47D4648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44" name="Picture 1">
          <a:extLst>
            <a:ext uri="{FF2B5EF4-FFF2-40B4-BE49-F238E27FC236}">
              <a16:creationId xmlns:a16="http://schemas.microsoft.com/office/drawing/2014/main" id="{DCBF03C1-E604-4363-9D96-7900F93B8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45" name="Picture 1">
          <a:extLst>
            <a:ext uri="{FF2B5EF4-FFF2-40B4-BE49-F238E27FC236}">
              <a16:creationId xmlns:a16="http://schemas.microsoft.com/office/drawing/2014/main" id="{7EDE017D-1D92-4676-B053-2AD44D302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46" name="Picture 1">
          <a:extLst>
            <a:ext uri="{FF2B5EF4-FFF2-40B4-BE49-F238E27FC236}">
              <a16:creationId xmlns:a16="http://schemas.microsoft.com/office/drawing/2014/main" id="{180F8C0E-0751-4A64-8CD6-4E5D58034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47" name="Picture 1">
          <a:extLst>
            <a:ext uri="{FF2B5EF4-FFF2-40B4-BE49-F238E27FC236}">
              <a16:creationId xmlns:a16="http://schemas.microsoft.com/office/drawing/2014/main" id="{73D138FA-78D3-4449-8697-7A7E203F8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48" name="Picture 1">
          <a:extLst>
            <a:ext uri="{FF2B5EF4-FFF2-40B4-BE49-F238E27FC236}">
              <a16:creationId xmlns:a16="http://schemas.microsoft.com/office/drawing/2014/main" id="{03A066E7-4722-466A-B2E9-E6C7961B1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49" name="Picture 1">
          <a:extLst>
            <a:ext uri="{FF2B5EF4-FFF2-40B4-BE49-F238E27FC236}">
              <a16:creationId xmlns:a16="http://schemas.microsoft.com/office/drawing/2014/main" id="{6026F982-66E4-4AEA-8F0E-9E04FB514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50" name="Picture 1">
          <a:extLst>
            <a:ext uri="{FF2B5EF4-FFF2-40B4-BE49-F238E27FC236}">
              <a16:creationId xmlns:a16="http://schemas.microsoft.com/office/drawing/2014/main" id="{143022E6-527A-4E75-BD78-AB09BB2C9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51" name="Picture 1">
          <a:extLst>
            <a:ext uri="{FF2B5EF4-FFF2-40B4-BE49-F238E27FC236}">
              <a16:creationId xmlns:a16="http://schemas.microsoft.com/office/drawing/2014/main" id="{AB219F7E-D0D4-4894-9154-37F71CF6C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110</xdr:row>
      <xdr:rowOff>144360</xdr:rowOff>
    </xdr:from>
    <xdr:ext cx="1294920" cy="57240"/>
    <xdr:pic>
      <xdr:nvPicPr>
        <xdr:cNvPr id="1152" name="Picture 1">
          <a:extLst>
            <a:ext uri="{FF2B5EF4-FFF2-40B4-BE49-F238E27FC236}">
              <a16:creationId xmlns:a16="http://schemas.microsoft.com/office/drawing/2014/main" id="{A162F97F-B133-4734-BF21-5BA691BFC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032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53" name="Picture 1">
          <a:extLst>
            <a:ext uri="{FF2B5EF4-FFF2-40B4-BE49-F238E27FC236}">
              <a16:creationId xmlns:a16="http://schemas.microsoft.com/office/drawing/2014/main" id="{31E6F8FA-1FDF-4DEE-8599-46BD3CF0E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54" name="Picture 1">
          <a:extLst>
            <a:ext uri="{FF2B5EF4-FFF2-40B4-BE49-F238E27FC236}">
              <a16:creationId xmlns:a16="http://schemas.microsoft.com/office/drawing/2014/main" id="{7264C5EE-5562-4C01-BAA9-DD2CE4A6C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55" name="Picture 1">
          <a:extLst>
            <a:ext uri="{FF2B5EF4-FFF2-40B4-BE49-F238E27FC236}">
              <a16:creationId xmlns:a16="http://schemas.microsoft.com/office/drawing/2014/main" id="{42322D23-2F65-49A0-971B-3B2EC0A14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56" name="Picture 1">
          <a:extLst>
            <a:ext uri="{FF2B5EF4-FFF2-40B4-BE49-F238E27FC236}">
              <a16:creationId xmlns:a16="http://schemas.microsoft.com/office/drawing/2014/main" id="{E35E1779-C5BD-4CA8-9FD3-FE5C95E86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57" name="Picture 1">
          <a:extLst>
            <a:ext uri="{FF2B5EF4-FFF2-40B4-BE49-F238E27FC236}">
              <a16:creationId xmlns:a16="http://schemas.microsoft.com/office/drawing/2014/main" id="{BFA49549-B461-4A3F-B5F1-65843594E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58" name="Picture 1">
          <a:extLst>
            <a:ext uri="{FF2B5EF4-FFF2-40B4-BE49-F238E27FC236}">
              <a16:creationId xmlns:a16="http://schemas.microsoft.com/office/drawing/2014/main" id="{2DA82742-3D86-4713-B9CC-ECF6C4C8E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59" name="Picture 1">
          <a:extLst>
            <a:ext uri="{FF2B5EF4-FFF2-40B4-BE49-F238E27FC236}">
              <a16:creationId xmlns:a16="http://schemas.microsoft.com/office/drawing/2014/main" id="{F320B2C7-916E-4300-9DC7-0E668FB36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60" name="Picture 1">
          <a:extLst>
            <a:ext uri="{FF2B5EF4-FFF2-40B4-BE49-F238E27FC236}">
              <a16:creationId xmlns:a16="http://schemas.microsoft.com/office/drawing/2014/main" id="{0E5B1477-F04E-4A00-9C84-6C7FE8CF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61" name="Picture 1">
          <a:extLst>
            <a:ext uri="{FF2B5EF4-FFF2-40B4-BE49-F238E27FC236}">
              <a16:creationId xmlns:a16="http://schemas.microsoft.com/office/drawing/2014/main" id="{FD59D898-E684-4C6E-9987-A17CA4605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62" name="Picture 1">
          <a:extLst>
            <a:ext uri="{FF2B5EF4-FFF2-40B4-BE49-F238E27FC236}">
              <a16:creationId xmlns:a16="http://schemas.microsoft.com/office/drawing/2014/main" id="{DCE652E3-F716-4EC1-A3C3-6D06B8C74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63" name="Picture 1">
          <a:extLst>
            <a:ext uri="{FF2B5EF4-FFF2-40B4-BE49-F238E27FC236}">
              <a16:creationId xmlns:a16="http://schemas.microsoft.com/office/drawing/2014/main" id="{ED510AC2-429A-4A1F-9F1A-627472FF9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64" name="Picture 1">
          <a:extLst>
            <a:ext uri="{FF2B5EF4-FFF2-40B4-BE49-F238E27FC236}">
              <a16:creationId xmlns:a16="http://schemas.microsoft.com/office/drawing/2014/main" id="{30B333CA-EFE2-47B5-B68A-3497EB4F0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65" name="Picture 1">
          <a:extLst>
            <a:ext uri="{FF2B5EF4-FFF2-40B4-BE49-F238E27FC236}">
              <a16:creationId xmlns:a16="http://schemas.microsoft.com/office/drawing/2014/main" id="{59E2AEF8-7816-45BD-9644-4C232EEF4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66" name="Picture 1">
          <a:extLst>
            <a:ext uri="{FF2B5EF4-FFF2-40B4-BE49-F238E27FC236}">
              <a16:creationId xmlns:a16="http://schemas.microsoft.com/office/drawing/2014/main" id="{0B85CC0D-E78E-4500-B54C-07EA14DC3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67" name="Picture 1">
          <a:extLst>
            <a:ext uri="{FF2B5EF4-FFF2-40B4-BE49-F238E27FC236}">
              <a16:creationId xmlns:a16="http://schemas.microsoft.com/office/drawing/2014/main" id="{1B0AE7F2-CE17-4E9A-A342-7F2F7BEA1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68" name="Picture 1">
          <a:extLst>
            <a:ext uri="{FF2B5EF4-FFF2-40B4-BE49-F238E27FC236}">
              <a16:creationId xmlns:a16="http://schemas.microsoft.com/office/drawing/2014/main" id="{03B58B08-CD96-4C78-BFF4-D87E107A4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69" name="Picture 1">
          <a:extLst>
            <a:ext uri="{FF2B5EF4-FFF2-40B4-BE49-F238E27FC236}">
              <a16:creationId xmlns:a16="http://schemas.microsoft.com/office/drawing/2014/main" id="{D3C8F001-F03B-4D1D-AF52-28F8C729B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70" name="Picture 1">
          <a:extLst>
            <a:ext uri="{FF2B5EF4-FFF2-40B4-BE49-F238E27FC236}">
              <a16:creationId xmlns:a16="http://schemas.microsoft.com/office/drawing/2014/main" id="{89DD9CE0-A728-4344-AD59-B0B8A0C06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71" name="Picture 1">
          <a:extLst>
            <a:ext uri="{FF2B5EF4-FFF2-40B4-BE49-F238E27FC236}">
              <a16:creationId xmlns:a16="http://schemas.microsoft.com/office/drawing/2014/main" id="{2D045E2F-08E1-4A58-9B7E-EB3AA40AC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72" name="Picture 1">
          <a:extLst>
            <a:ext uri="{FF2B5EF4-FFF2-40B4-BE49-F238E27FC236}">
              <a16:creationId xmlns:a16="http://schemas.microsoft.com/office/drawing/2014/main" id="{B42178D3-F3A2-4716-95CD-AC51E23CF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73" name="Picture 1">
          <a:extLst>
            <a:ext uri="{FF2B5EF4-FFF2-40B4-BE49-F238E27FC236}">
              <a16:creationId xmlns:a16="http://schemas.microsoft.com/office/drawing/2014/main" id="{45C13FD6-8AB1-4E66-A412-318E4CCDF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74" name="Picture 1">
          <a:extLst>
            <a:ext uri="{FF2B5EF4-FFF2-40B4-BE49-F238E27FC236}">
              <a16:creationId xmlns:a16="http://schemas.microsoft.com/office/drawing/2014/main" id="{8DD16DA6-89D5-41FC-8F29-BA4536387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75" name="Picture 1">
          <a:extLst>
            <a:ext uri="{FF2B5EF4-FFF2-40B4-BE49-F238E27FC236}">
              <a16:creationId xmlns:a16="http://schemas.microsoft.com/office/drawing/2014/main" id="{1268DBA8-0C0C-4041-A797-635A847D8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76" name="Picture 1">
          <a:extLst>
            <a:ext uri="{FF2B5EF4-FFF2-40B4-BE49-F238E27FC236}">
              <a16:creationId xmlns:a16="http://schemas.microsoft.com/office/drawing/2014/main" id="{55CDCB8B-589F-435B-9FF1-3CE31A5AA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77" name="Picture 1">
          <a:extLst>
            <a:ext uri="{FF2B5EF4-FFF2-40B4-BE49-F238E27FC236}">
              <a16:creationId xmlns:a16="http://schemas.microsoft.com/office/drawing/2014/main" id="{8F7BEEB1-EA50-4BD7-BFFC-CA7C57D40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78" name="Picture 1">
          <a:extLst>
            <a:ext uri="{FF2B5EF4-FFF2-40B4-BE49-F238E27FC236}">
              <a16:creationId xmlns:a16="http://schemas.microsoft.com/office/drawing/2014/main" id="{C4BECF75-2536-4907-ADDE-19CFBA075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79" name="Picture 1">
          <a:extLst>
            <a:ext uri="{FF2B5EF4-FFF2-40B4-BE49-F238E27FC236}">
              <a16:creationId xmlns:a16="http://schemas.microsoft.com/office/drawing/2014/main" id="{CB9DE0E0-3C8B-4E7B-84D5-83CAD3E65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80" name="Picture 1">
          <a:extLst>
            <a:ext uri="{FF2B5EF4-FFF2-40B4-BE49-F238E27FC236}">
              <a16:creationId xmlns:a16="http://schemas.microsoft.com/office/drawing/2014/main" id="{085CCD83-91F2-4DF9-AA39-FB948C1E9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81" name="Picture 1">
          <a:extLst>
            <a:ext uri="{FF2B5EF4-FFF2-40B4-BE49-F238E27FC236}">
              <a16:creationId xmlns:a16="http://schemas.microsoft.com/office/drawing/2014/main" id="{06ABDEBB-AA0F-4103-8F3E-886F52BCF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82" name="Picture 1">
          <a:extLst>
            <a:ext uri="{FF2B5EF4-FFF2-40B4-BE49-F238E27FC236}">
              <a16:creationId xmlns:a16="http://schemas.microsoft.com/office/drawing/2014/main" id="{17979C2C-7B21-4E16-B4A6-2D7DD2A5B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111</xdr:row>
      <xdr:rowOff>144000</xdr:rowOff>
    </xdr:from>
    <xdr:ext cx="1294920" cy="57960"/>
    <xdr:pic>
      <xdr:nvPicPr>
        <xdr:cNvPr id="1183" name="Picture 1">
          <a:extLst>
            <a:ext uri="{FF2B5EF4-FFF2-40B4-BE49-F238E27FC236}">
              <a16:creationId xmlns:a16="http://schemas.microsoft.com/office/drawing/2014/main" id="{8CF6AB2D-8E90-4F5D-BFFD-84795AB59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222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84" name="Picture 1">
          <a:extLst>
            <a:ext uri="{FF2B5EF4-FFF2-40B4-BE49-F238E27FC236}">
              <a16:creationId xmlns:a16="http://schemas.microsoft.com/office/drawing/2014/main" id="{55D344BB-C096-4A6F-9227-C5F1DAD99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85" name="Picture 1">
          <a:extLst>
            <a:ext uri="{FF2B5EF4-FFF2-40B4-BE49-F238E27FC236}">
              <a16:creationId xmlns:a16="http://schemas.microsoft.com/office/drawing/2014/main" id="{2602985B-8C5A-4257-8664-31CF45360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86" name="Picture 1">
          <a:extLst>
            <a:ext uri="{FF2B5EF4-FFF2-40B4-BE49-F238E27FC236}">
              <a16:creationId xmlns:a16="http://schemas.microsoft.com/office/drawing/2014/main" id="{E06DE97D-6284-4762-A2F8-12511C53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87" name="Picture 1">
          <a:extLst>
            <a:ext uri="{FF2B5EF4-FFF2-40B4-BE49-F238E27FC236}">
              <a16:creationId xmlns:a16="http://schemas.microsoft.com/office/drawing/2014/main" id="{53962BE4-066E-40D2-8423-DC87517FF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88" name="Picture 1">
          <a:extLst>
            <a:ext uri="{FF2B5EF4-FFF2-40B4-BE49-F238E27FC236}">
              <a16:creationId xmlns:a16="http://schemas.microsoft.com/office/drawing/2014/main" id="{7D140DEE-8187-4EFA-B065-DB64EC5EC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89" name="Picture 1">
          <a:extLst>
            <a:ext uri="{FF2B5EF4-FFF2-40B4-BE49-F238E27FC236}">
              <a16:creationId xmlns:a16="http://schemas.microsoft.com/office/drawing/2014/main" id="{A6C69D12-23CB-494E-832C-39DF40740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90" name="Picture 1">
          <a:extLst>
            <a:ext uri="{FF2B5EF4-FFF2-40B4-BE49-F238E27FC236}">
              <a16:creationId xmlns:a16="http://schemas.microsoft.com/office/drawing/2014/main" id="{4A4487D5-8689-42F3-BB43-A056508AF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91" name="Picture 1">
          <a:extLst>
            <a:ext uri="{FF2B5EF4-FFF2-40B4-BE49-F238E27FC236}">
              <a16:creationId xmlns:a16="http://schemas.microsoft.com/office/drawing/2014/main" id="{3C144167-5145-44C5-9392-B72F39F39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92" name="Picture 1">
          <a:extLst>
            <a:ext uri="{FF2B5EF4-FFF2-40B4-BE49-F238E27FC236}">
              <a16:creationId xmlns:a16="http://schemas.microsoft.com/office/drawing/2014/main" id="{D82528E1-7535-4C96-A326-B3F804FDE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93" name="Picture 1">
          <a:extLst>
            <a:ext uri="{FF2B5EF4-FFF2-40B4-BE49-F238E27FC236}">
              <a16:creationId xmlns:a16="http://schemas.microsoft.com/office/drawing/2014/main" id="{F865EDA4-F29F-42CA-93A4-865864707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94" name="Picture 1">
          <a:extLst>
            <a:ext uri="{FF2B5EF4-FFF2-40B4-BE49-F238E27FC236}">
              <a16:creationId xmlns:a16="http://schemas.microsoft.com/office/drawing/2014/main" id="{7B2159D1-FA8E-4F5D-A2BC-17CB08A71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95" name="Picture 1">
          <a:extLst>
            <a:ext uri="{FF2B5EF4-FFF2-40B4-BE49-F238E27FC236}">
              <a16:creationId xmlns:a16="http://schemas.microsoft.com/office/drawing/2014/main" id="{FE2B4A9D-7252-4B12-A7B7-ADB19F9DC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96" name="Picture 1">
          <a:extLst>
            <a:ext uri="{FF2B5EF4-FFF2-40B4-BE49-F238E27FC236}">
              <a16:creationId xmlns:a16="http://schemas.microsoft.com/office/drawing/2014/main" id="{4E7AE608-33F1-484E-8523-784A022CB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97" name="Picture 1">
          <a:extLst>
            <a:ext uri="{FF2B5EF4-FFF2-40B4-BE49-F238E27FC236}">
              <a16:creationId xmlns:a16="http://schemas.microsoft.com/office/drawing/2014/main" id="{549C2127-982A-4F9F-AF38-1FFFF66AC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98" name="Picture 1">
          <a:extLst>
            <a:ext uri="{FF2B5EF4-FFF2-40B4-BE49-F238E27FC236}">
              <a16:creationId xmlns:a16="http://schemas.microsoft.com/office/drawing/2014/main" id="{023A3793-4749-4C51-BF12-F6ABB3DFF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199" name="Picture 1">
          <a:extLst>
            <a:ext uri="{FF2B5EF4-FFF2-40B4-BE49-F238E27FC236}">
              <a16:creationId xmlns:a16="http://schemas.microsoft.com/office/drawing/2014/main" id="{488BE1F3-7BA5-486A-8133-3B59BB44F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00" name="Picture 1">
          <a:extLst>
            <a:ext uri="{FF2B5EF4-FFF2-40B4-BE49-F238E27FC236}">
              <a16:creationId xmlns:a16="http://schemas.microsoft.com/office/drawing/2014/main" id="{94FF5DA1-B686-4486-90F2-F9DD051EF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01" name="Picture 1">
          <a:extLst>
            <a:ext uri="{FF2B5EF4-FFF2-40B4-BE49-F238E27FC236}">
              <a16:creationId xmlns:a16="http://schemas.microsoft.com/office/drawing/2014/main" id="{CE4BBCE5-4800-4760-BB2E-F70AA3C01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02" name="Picture 1">
          <a:extLst>
            <a:ext uri="{FF2B5EF4-FFF2-40B4-BE49-F238E27FC236}">
              <a16:creationId xmlns:a16="http://schemas.microsoft.com/office/drawing/2014/main" id="{8312F953-3A65-4FE7-BE11-B9429E129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03" name="Picture 1">
          <a:extLst>
            <a:ext uri="{FF2B5EF4-FFF2-40B4-BE49-F238E27FC236}">
              <a16:creationId xmlns:a16="http://schemas.microsoft.com/office/drawing/2014/main" id="{43381055-8174-49E7-BE39-5CB64303F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04" name="Picture 1">
          <a:extLst>
            <a:ext uri="{FF2B5EF4-FFF2-40B4-BE49-F238E27FC236}">
              <a16:creationId xmlns:a16="http://schemas.microsoft.com/office/drawing/2014/main" id="{9BA57822-C721-47A6-A88F-4C0C76206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05" name="Picture 1">
          <a:extLst>
            <a:ext uri="{FF2B5EF4-FFF2-40B4-BE49-F238E27FC236}">
              <a16:creationId xmlns:a16="http://schemas.microsoft.com/office/drawing/2014/main" id="{C3D6023D-020A-49C2-81E2-6D93E8BE3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06" name="Picture 1">
          <a:extLst>
            <a:ext uri="{FF2B5EF4-FFF2-40B4-BE49-F238E27FC236}">
              <a16:creationId xmlns:a16="http://schemas.microsoft.com/office/drawing/2014/main" id="{575E45BE-3BA5-448C-BD3C-BEF752F9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07" name="Picture 1">
          <a:extLst>
            <a:ext uri="{FF2B5EF4-FFF2-40B4-BE49-F238E27FC236}">
              <a16:creationId xmlns:a16="http://schemas.microsoft.com/office/drawing/2014/main" id="{ACBCE8D7-CA0E-4E7D-85EB-6FC1F5CC1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08" name="Picture 1">
          <a:extLst>
            <a:ext uri="{FF2B5EF4-FFF2-40B4-BE49-F238E27FC236}">
              <a16:creationId xmlns:a16="http://schemas.microsoft.com/office/drawing/2014/main" id="{33A2BBC3-9ABB-41ED-BEE3-621986A50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09" name="Picture 1">
          <a:extLst>
            <a:ext uri="{FF2B5EF4-FFF2-40B4-BE49-F238E27FC236}">
              <a16:creationId xmlns:a16="http://schemas.microsoft.com/office/drawing/2014/main" id="{666E42B5-0DD1-49C2-9DCA-5F5B2BBE6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10" name="Picture 1">
          <a:extLst>
            <a:ext uri="{FF2B5EF4-FFF2-40B4-BE49-F238E27FC236}">
              <a16:creationId xmlns:a16="http://schemas.microsoft.com/office/drawing/2014/main" id="{6B406683-B6BC-4617-860C-D38715B60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11" name="Picture 1">
          <a:extLst>
            <a:ext uri="{FF2B5EF4-FFF2-40B4-BE49-F238E27FC236}">
              <a16:creationId xmlns:a16="http://schemas.microsoft.com/office/drawing/2014/main" id="{DE566C33-1AF2-4015-8B8C-11C94EDE9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12" name="Picture 1">
          <a:extLst>
            <a:ext uri="{FF2B5EF4-FFF2-40B4-BE49-F238E27FC236}">
              <a16:creationId xmlns:a16="http://schemas.microsoft.com/office/drawing/2014/main" id="{5AF80C78-85A5-4977-964F-E798E884F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13" name="Picture 1">
          <a:extLst>
            <a:ext uri="{FF2B5EF4-FFF2-40B4-BE49-F238E27FC236}">
              <a16:creationId xmlns:a16="http://schemas.microsoft.com/office/drawing/2014/main" id="{7083F4E8-2A0B-41C9-B00B-1178A4D88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14" name="Picture 1">
          <a:extLst>
            <a:ext uri="{FF2B5EF4-FFF2-40B4-BE49-F238E27FC236}">
              <a16:creationId xmlns:a16="http://schemas.microsoft.com/office/drawing/2014/main" id="{F0BF5486-8F91-4489-AFF8-AE85E5F02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15" name="Picture 1">
          <a:extLst>
            <a:ext uri="{FF2B5EF4-FFF2-40B4-BE49-F238E27FC236}">
              <a16:creationId xmlns:a16="http://schemas.microsoft.com/office/drawing/2014/main" id="{23934CDF-741F-460F-BC5A-9E8D33300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112</xdr:row>
      <xdr:rowOff>144360</xdr:rowOff>
    </xdr:from>
    <xdr:ext cx="1294920" cy="57240"/>
    <xdr:pic>
      <xdr:nvPicPr>
        <xdr:cNvPr id="1216" name="Picture 1">
          <a:extLst>
            <a:ext uri="{FF2B5EF4-FFF2-40B4-BE49-F238E27FC236}">
              <a16:creationId xmlns:a16="http://schemas.microsoft.com/office/drawing/2014/main" id="{69A29D92-4882-430E-AAC8-2EFF025B3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413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17" name="Picture 1">
          <a:extLst>
            <a:ext uri="{FF2B5EF4-FFF2-40B4-BE49-F238E27FC236}">
              <a16:creationId xmlns:a16="http://schemas.microsoft.com/office/drawing/2014/main" id="{2AFD1FBF-C149-4FDC-AE37-7B19F1E91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18" name="Picture 1">
          <a:extLst>
            <a:ext uri="{FF2B5EF4-FFF2-40B4-BE49-F238E27FC236}">
              <a16:creationId xmlns:a16="http://schemas.microsoft.com/office/drawing/2014/main" id="{D38A3FCE-6057-4F83-86D4-FAFF39216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19" name="Picture 1">
          <a:extLst>
            <a:ext uri="{FF2B5EF4-FFF2-40B4-BE49-F238E27FC236}">
              <a16:creationId xmlns:a16="http://schemas.microsoft.com/office/drawing/2014/main" id="{ED3919A1-11AC-46AC-978B-DB7F127F5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20" name="Picture 1">
          <a:extLst>
            <a:ext uri="{FF2B5EF4-FFF2-40B4-BE49-F238E27FC236}">
              <a16:creationId xmlns:a16="http://schemas.microsoft.com/office/drawing/2014/main" id="{9EE66131-04EB-48C3-9942-FFF6D383C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21" name="Picture 1">
          <a:extLst>
            <a:ext uri="{FF2B5EF4-FFF2-40B4-BE49-F238E27FC236}">
              <a16:creationId xmlns:a16="http://schemas.microsoft.com/office/drawing/2014/main" id="{0D605344-913F-4B8B-82BA-163110E4A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22" name="Picture 1">
          <a:extLst>
            <a:ext uri="{FF2B5EF4-FFF2-40B4-BE49-F238E27FC236}">
              <a16:creationId xmlns:a16="http://schemas.microsoft.com/office/drawing/2014/main" id="{68A475B7-34C5-4D5A-8167-DCAE78967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23" name="Picture 1">
          <a:extLst>
            <a:ext uri="{FF2B5EF4-FFF2-40B4-BE49-F238E27FC236}">
              <a16:creationId xmlns:a16="http://schemas.microsoft.com/office/drawing/2014/main" id="{F592C9DC-5046-4DA3-8017-F9C3D52FB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24" name="Picture 1">
          <a:extLst>
            <a:ext uri="{FF2B5EF4-FFF2-40B4-BE49-F238E27FC236}">
              <a16:creationId xmlns:a16="http://schemas.microsoft.com/office/drawing/2014/main" id="{CF77A9F5-526C-41AD-9F08-98E445B69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25" name="Picture 1">
          <a:extLst>
            <a:ext uri="{FF2B5EF4-FFF2-40B4-BE49-F238E27FC236}">
              <a16:creationId xmlns:a16="http://schemas.microsoft.com/office/drawing/2014/main" id="{35B282C6-D103-4912-8DE6-F1A1C3CDC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26" name="Picture 1">
          <a:extLst>
            <a:ext uri="{FF2B5EF4-FFF2-40B4-BE49-F238E27FC236}">
              <a16:creationId xmlns:a16="http://schemas.microsoft.com/office/drawing/2014/main" id="{5D2288A4-4063-4786-8421-126DB07CE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27" name="Picture 1">
          <a:extLst>
            <a:ext uri="{FF2B5EF4-FFF2-40B4-BE49-F238E27FC236}">
              <a16:creationId xmlns:a16="http://schemas.microsoft.com/office/drawing/2014/main" id="{335AA963-3973-43D2-AE49-B722367AD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28" name="Picture 1">
          <a:extLst>
            <a:ext uri="{FF2B5EF4-FFF2-40B4-BE49-F238E27FC236}">
              <a16:creationId xmlns:a16="http://schemas.microsoft.com/office/drawing/2014/main" id="{8A08E9C5-D243-4586-8A9A-5C248BB7C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29" name="Picture 1">
          <a:extLst>
            <a:ext uri="{FF2B5EF4-FFF2-40B4-BE49-F238E27FC236}">
              <a16:creationId xmlns:a16="http://schemas.microsoft.com/office/drawing/2014/main" id="{1A4EECD1-0CA9-4B5D-9406-B8287C2A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30" name="Picture 1">
          <a:extLst>
            <a:ext uri="{FF2B5EF4-FFF2-40B4-BE49-F238E27FC236}">
              <a16:creationId xmlns:a16="http://schemas.microsoft.com/office/drawing/2014/main" id="{FF02B73B-8D3C-46DA-AE10-5DB5CC951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31" name="Picture 1">
          <a:extLst>
            <a:ext uri="{FF2B5EF4-FFF2-40B4-BE49-F238E27FC236}">
              <a16:creationId xmlns:a16="http://schemas.microsoft.com/office/drawing/2014/main" id="{C8CF9C72-967B-4C5B-8CDA-C44A766C4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32" name="Picture 1">
          <a:extLst>
            <a:ext uri="{FF2B5EF4-FFF2-40B4-BE49-F238E27FC236}">
              <a16:creationId xmlns:a16="http://schemas.microsoft.com/office/drawing/2014/main" id="{A1BDE768-52C4-45F2-98D5-8E96E5A31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33" name="Picture 1">
          <a:extLst>
            <a:ext uri="{FF2B5EF4-FFF2-40B4-BE49-F238E27FC236}">
              <a16:creationId xmlns:a16="http://schemas.microsoft.com/office/drawing/2014/main" id="{4603A944-E864-4B5A-804F-CF0660D3B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34" name="Picture 1">
          <a:extLst>
            <a:ext uri="{FF2B5EF4-FFF2-40B4-BE49-F238E27FC236}">
              <a16:creationId xmlns:a16="http://schemas.microsoft.com/office/drawing/2014/main" id="{F8C607B5-77DD-4371-899D-B4A221BCA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35" name="Picture 1">
          <a:extLst>
            <a:ext uri="{FF2B5EF4-FFF2-40B4-BE49-F238E27FC236}">
              <a16:creationId xmlns:a16="http://schemas.microsoft.com/office/drawing/2014/main" id="{58A7F481-1C2F-45AF-A98D-F0959EBDF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36" name="Picture 1">
          <a:extLst>
            <a:ext uri="{FF2B5EF4-FFF2-40B4-BE49-F238E27FC236}">
              <a16:creationId xmlns:a16="http://schemas.microsoft.com/office/drawing/2014/main" id="{129DDC15-1D4E-4986-A47C-8563CA796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37" name="Picture 1">
          <a:extLst>
            <a:ext uri="{FF2B5EF4-FFF2-40B4-BE49-F238E27FC236}">
              <a16:creationId xmlns:a16="http://schemas.microsoft.com/office/drawing/2014/main" id="{9157AC85-3259-42FA-9A81-91480C7C6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38" name="Picture 1">
          <a:extLst>
            <a:ext uri="{FF2B5EF4-FFF2-40B4-BE49-F238E27FC236}">
              <a16:creationId xmlns:a16="http://schemas.microsoft.com/office/drawing/2014/main" id="{62B382BC-9843-48FF-87A2-DE842648E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39" name="Picture 1">
          <a:extLst>
            <a:ext uri="{FF2B5EF4-FFF2-40B4-BE49-F238E27FC236}">
              <a16:creationId xmlns:a16="http://schemas.microsoft.com/office/drawing/2014/main" id="{B8104630-055C-4117-A817-29810CE44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40" name="Picture 1">
          <a:extLst>
            <a:ext uri="{FF2B5EF4-FFF2-40B4-BE49-F238E27FC236}">
              <a16:creationId xmlns:a16="http://schemas.microsoft.com/office/drawing/2014/main" id="{1DA476F2-B291-4F28-9F36-C7965B3A6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41" name="Picture 1">
          <a:extLst>
            <a:ext uri="{FF2B5EF4-FFF2-40B4-BE49-F238E27FC236}">
              <a16:creationId xmlns:a16="http://schemas.microsoft.com/office/drawing/2014/main" id="{B27B3885-CD63-46F1-8D03-B74808E22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42" name="Picture 1">
          <a:extLst>
            <a:ext uri="{FF2B5EF4-FFF2-40B4-BE49-F238E27FC236}">
              <a16:creationId xmlns:a16="http://schemas.microsoft.com/office/drawing/2014/main" id="{D64944A2-D764-4DA7-B306-A178A785E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43" name="Picture 1">
          <a:extLst>
            <a:ext uri="{FF2B5EF4-FFF2-40B4-BE49-F238E27FC236}">
              <a16:creationId xmlns:a16="http://schemas.microsoft.com/office/drawing/2014/main" id="{CB0E8B5C-2AC5-4226-B897-033DEDA3A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44" name="Picture 1">
          <a:extLst>
            <a:ext uri="{FF2B5EF4-FFF2-40B4-BE49-F238E27FC236}">
              <a16:creationId xmlns:a16="http://schemas.microsoft.com/office/drawing/2014/main" id="{6F6F4378-9ADA-4BFA-9986-9F72AEB8F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45" name="Picture 1">
          <a:extLst>
            <a:ext uri="{FF2B5EF4-FFF2-40B4-BE49-F238E27FC236}">
              <a16:creationId xmlns:a16="http://schemas.microsoft.com/office/drawing/2014/main" id="{84B7BCBE-D1D1-4BE1-842F-F33245537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46" name="Picture 1">
          <a:extLst>
            <a:ext uri="{FF2B5EF4-FFF2-40B4-BE49-F238E27FC236}">
              <a16:creationId xmlns:a16="http://schemas.microsoft.com/office/drawing/2014/main" id="{5313CE49-FE8C-42F4-B92B-01454A48F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47" name="Picture 1">
          <a:extLst>
            <a:ext uri="{FF2B5EF4-FFF2-40B4-BE49-F238E27FC236}">
              <a16:creationId xmlns:a16="http://schemas.microsoft.com/office/drawing/2014/main" id="{72A8EC5D-48EC-4A1C-8910-01853A4BA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48" name="Picture 1">
          <a:extLst>
            <a:ext uri="{FF2B5EF4-FFF2-40B4-BE49-F238E27FC236}">
              <a16:creationId xmlns:a16="http://schemas.microsoft.com/office/drawing/2014/main" id="{C85FC93A-491E-442D-A9C5-85AE735E3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113</xdr:row>
      <xdr:rowOff>144000</xdr:rowOff>
    </xdr:from>
    <xdr:ext cx="1294920" cy="57960"/>
    <xdr:pic>
      <xdr:nvPicPr>
        <xdr:cNvPr id="1249" name="Picture 1">
          <a:extLst>
            <a:ext uri="{FF2B5EF4-FFF2-40B4-BE49-F238E27FC236}">
              <a16:creationId xmlns:a16="http://schemas.microsoft.com/office/drawing/2014/main" id="{8B491A78-0B63-4338-8161-37A73157A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603950"/>
          <a:ext cx="1294920" cy="57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50" name="Picture 1">
          <a:extLst>
            <a:ext uri="{FF2B5EF4-FFF2-40B4-BE49-F238E27FC236}">
              <a16:creationId xmlns:a16="http://schemas.microsoft.com/office/drawing/2014/main" id="{7887104A-D3CF-43E0-9CD0-65924A187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51" name="Picture 1">
          <a:extLst>
            <a:ext uri="{FF2B5EF4-FFF2-40B4-BE49-F238E27FC236}">
              <a16:creationId xmlns:a16="http://schemas.microsoft.com/office/drawing/2014/main" id="{CEF9012E-5A1D-4188-AFE0-DA9E8CCD7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52" name="Picture 1">
          <a:extLst>
            <a:ext uri="{FF2B5EF4-FFF2-40B4-BE49-F238E27FC236}">
              <a16:creationId xmlns:a16="http://schemas.microsoft.com/office/drawing/2014/main" id="{90BED239-9E5D-4AF2-BD53-6BBAACAED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53" name="Picture 1">
          <a:extLst>
            <a:ext uri="{FF2B5EF4-FFF2-40B4-BE49-F238E27FC236}">
              <a16:creationId xmlns:a16="http://schemas.microsoft.com/office/drawing/2014/main" id="{6507F284-5CAC-4D45-93A4-6FEC07C52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54" name="Picture 1">
          <a:extLst>
            <a:ext uri="{FF2B5EF4-FFF2-40B4-BE49-F238E27FC236}">
              <a16:creationId xmlns:a16="http://schemas.microsoft.com/office/drawing/2014/main" id="{43576387-B20C-443B-ADBD-8D1478E01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55" name="Picture 1">
          <a:extLst>
            <a:ext uri="{FF2B5EF4-FFF2-40B4-BE49-F238E27FC236}">
              <a16:creationId xmlns:a16="http://schemas.microsoft.com/office/drawing/2014/main" id="{73E1F10F-C85B-4699-A866-4FEB85E4B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56" name="Picture 1">
          <a:extLst>
            <a:ext uri="{FF2B5EF4-FFF2-40B4-BE49-F238E27FC236}">
              <a16:creationId xmlns:a16="http://schemas.microsoft.com/office/drawing/2014/main" id="{12B40F39-7408-4EA3-9C6F-4E96AFF63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57" name="Picture 1">
          <a:extLst>
            <a:ext uri="{FF2B5EF4-FFF2-40B4-BE49-F238E27FC236}">
              <a16:creationId xmlns:a16="http://schemas.microsoft.com/office/drawing/2014/main" id="{5B239E10-2FD5-4F9C-AD85-F70A729D0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58" name="Picture 1">
          <a:extLst>
            <a:ext uri="{FF2B5EF4-FFF2-40B4-BE49-F238E27FC236}">
              <a16:creationId xmlns:a16="http://schemas.microsoft.com/office/drawing/2014/main" id="{6404D2CE-84E0-4954-8394-922780F83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59" name="Picture 1">
          <a:extLst>
            <a:ext uri="{FF2B5EF4-FFF2-40B4-BE49-F238E27FC236}">
              <a16:creationId xmlns:a16="http://schemas.microsoft.com/office/drawing/2014/main" id="{132C0608-304D-4AA0-86EB-D78912141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60" name="Picture 1">
          <a:extLst>
            <a:ext uri="{FF2B5EF4-FFF2-40B4-BE49-F238E27FC236}">
              <a16:creationId xmlns:a16="http://schemas.microsoft.com/office/drawing/2014/main" id="{B4E8C97D-D195-496E-A995-A3872FEBE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61" name="Picture 1">
          <a:extLst>
            <a:ext uri="{FF2B5EF4-FFF2-40B4-BE49-F238E27FC236}">
              <a16:creationId xmlns:a16="http://schemas.microsoft.com/office/drawing/2014/main" id="{FEAC46BE-F81C-4733-99EA-CB8969365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62" name="Picture 1">
          <a:extLst>
            <a:ext uri="{FF2B5EF4-FFF2-40B4-BE49-F238E27FC236}">
              <a16:creationId xmlns:a16="http://schemas.microsoft.com/office/drawing/2014/main" id="{EEDCD7E3-7C0E-4255-A8CE-DF78DA919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63" name="Picture 1">
          <a:extLst>
            <a:ext uri="{FF2B5EF4-FFF2-40B4-BE49-F238E27FC236}">
              <a16:creationId xmlns:a16="http://schemas.microsoft.com/office/drawing/2014/main" id="{84D393DD-3285-46B4-9BA7-4DA695EB3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64" name="Picture 1">
          <a:extLst>
            <a:ext uri="{FF2B5EF4-FFF2-40B4-BE49-F238E27FC236}">
              <a16:creationId xmlns:a16="http://schemas.microsoft.com/office/drawing/2014/main" id="{22C4AB2A-8673-44D1-A640-2796445A6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65" name="Picture 1">
          <a:extLst>
            <a:ext uri="{FF2B5EF4-FFF2-40B4-BE49-F238E27FC236}">
              <a16:creationId xmlns:a16="http://schemas.microsoft.com/office/drawing/2014/main" id="{654C02E9-21E5-4A85-9103-F8277B57B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66" name="Picture 1">
          <a:extLst>
            <a:ext uri="{FF2B5EF4-FFF2-40B4-BE49-F238E27FC236}">
              <a16:creationId xmlns:a16="http://schemas.microsoft.com/office/drawing/2014/main" id="{701D7F50-9B95-4C4E-9F09-24EC56E68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67" name="Picture 1">
          <a:extLst>
            <a:ext uri="{FF2B5EF4-FFF2-40B4-BE49-F238E27FC236}">
              <a16:creationId xmlns:a16="http://schemas.microsoft.com/office/drawing/2014/main" id="{972EBEC1-5900-44C0-85C1-39E0568CF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68" name="Picture 1">
          <a:extLst>
            <a:ext uri="{FF2B5EF4-FFF2-40B4-BE49-F238E27FC236}">
              <a16:creationId xmlns:a16="http://schemas.microsoft.com/office/drawing/2014/main" id="{DB001018-EEB9-4D60-9F61-760C2F526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69" name="Picture 1">
          <a:extLst>
            <a:ext uri="{FF2B5EF4-FFF2-40B4-BE49-F238E27FC236}">
              <a16:creationId xmlns:a16="http://schemas.microsoft.com/office/drawing/2014/main" id="{4E3985F7-A4DA-4E47-BE85-BAA78708D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70" name="Picture 1">
          <a:extLst>
            <a:ext uri="{FF2B5EF4-FFF2-40B4-BE49-F238E27FC236}">
              <a16:creationId xmlns:a16="http://schemas.microsoft.com/office/drawing/2014/main" id="{CAC83F81-76CB-4A50-8E5B-F7F64F67B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71" name="Picture 1">
          <a:extLst>
            <a:ext uri="{FF2B5EF4-FFF2-40B4-BE49-F238E27FC236}">
              <a16:creationId xmlns:a16="http://schemas.microsoft.com/office/drawing/2014/main" id="{93B024D4-2014-4640-B81B-3286C8163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72" name="Picture 1">
          <a:extLst>
            <a:ext uri="{FF2B5EF4-FFF2-40B4-BE49-F238E27FC236}">
              <a16:creationId xmlns:a16="http://schemas.microsoft.com/office/drawing/2014/main" id="{B054EA27-879D-450C-810D-143556F0D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73" name="Picture 1">
          <a:extLst>
            <a:ext uri="{FF2B5EF4-FFF2-40B4-BE49-F238E27FC236}">
              <a16:creationId xmlns:a16="http://schemas.microsoft.com/office/drawing/2014/main" id="{C94D9FEF-AA20-4ED6-857B-D737721CE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74" name="Picture 1">
          <a:extLst>
            <a:ext uri="{FF2B5EF4-FFF2-40B4-BE49-F238E27FC236}">
              <a16:creationId xmlns:a16="http://schemas.microsoft.com/office/drawing/2014/main" id="{F1CA6196-EA81-4C85-AC6B-87698C2B5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75" name="Picture 1">
          <a:extLst>
            <a:ext uri="{FF2B5EF4-FFF2-40B4-BE49-F238E27FC236}">
              <a16:creationId xmlns:a16="http://schemas.microsoft.com/office/drawing/2014/main" id="{90C2027E-65B1-4E95-AFBC-3B978CD7E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76" name="Picture 1">
          <a:extLst>
            <a:ext uri="{FF2B5EF4-FFF2-40B4-BE49-F238E27FC236}">
              <a16:creationId xmlns:a16="http://schemas.microsoft.com/office/drawing/2014/main" id="{233EDD37-5FE0-43BF-9303-6E9C6D8A9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77" name="Picture 1">
          <a:extLst>
            <a:ext uri="{FF2B5EF4-FFF2-40B4-BE49-F238E27FC236}">
              <a16:creationId xmlns:a16="http://schemas.microsoft.com/office/drawing/2014/main" id="{CF4BD317-BC3B-4A8D-BF1E-DD276AA3E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78" name="Picture 1">
          <a:extLst>
            <a:ext uri="{FF2B5EF4-FFF2-40B4-BE49-F238E27FC236}">
              <a16:creationId xmlns:a16="http://schemas.microsoft.com/office/drawing/2014/main" id="{C0CA7DC2-41FC-46A7-BA29-40CEEE517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79" name="Picture 1">
          <a:extLst>
            <a:ext uri="{FF2B5EF4-FFF2-40B4-BE49-F238E27FC236}">
              <a16:creationId xmlns:a16="http://schemas.microsoft.com/office/drawing/2014/main" id="{51CABBA2-E799-49C7-9BC5-669BC6A8A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80" name="Picture 1">
          <a:extLst>
            <a:ext uri="{FF2B5EF4-FFF2-40B4-BE49-F238E27FC236}">
              <a16:creationId xmlns:a16="http://schemas.microsoft.com/office/drawing/2014/main" id="{37C9498B-0D83-41DF-B25B-2D5E836FE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81" name="Picture 1">
          <a:extLst>
            <a:ext uri="{FF2B5EF4-FFF2-40B4-BE49-F238E27FC236}">
              <a16:creationId xmlns:a16="http://schemas.microsoft.com/office/drawing/2014/main" id="{52FA153B-746C-430A-A458-DDF23704F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114</xdr:row>
      <xdr:rowOff>144360</xdr:rowOff>
    </xdr:from>
    <xdr:ext cx="1294920" cy="57240"/>
    <xdr:pic>
      <xdr:nvPicPr>
        <xdr:cNvPr id="1282" name="Picture 1">
          <a:extLst>
            <a:ext uri="{FF2B5EF4-FFF2-40B4-BE49-F238E27FC236}">
              <a16:creationId xmlns:a16="http://schemas.microsoft.com/office/drawing/2014/main" id="{66F7BB1D-29AF-436B-926B-61595495E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1288375" y="22794810"/>
          <a:ext cx="1294920" cy="572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1480-0EA2-41F9-8B65-621D1D7CE2D1}">
  <dimension ref="A1:XEY117"/>
  <sheetViews>
    <sheetView tabSelected="1" workbookViewId="0">
      <selection activeCell="Q97" sqref="Q97"/>
    </sheetView>
  </sheetViews>
  <sheetFormatPr baseColWidth="10" defaultRowHeight="15" x14ac:dyDescent="0.25"/>
  <cols>
    <col min="1" max="1" width="8.42578125" style="106" customWidth="1"/>
    <col min="2" max="2" width="44.42578125" style="1" customWidth="1"/>
    <col min="3" max="3" width="16.7109375" style="107" customWidth="1"/>
    <col min="4" max="4" width="15.42578125" style="1" customWidth="1"/>
    <col min="5" max="5" width="15.42578125" style="107" customWidth="1"/>
    <col min="6" max="6" width="15.42578125" style="108" customWidth="1"/>
    <col min="7" max="7" width="15.42578125" style="1" customWidth="1"/>
    <col min="8" max="8" width="15.42578125" style="108" customWidth="1"/>
    <col min="9" max="10" width="15.42578125" style="109" customWidth="1"/>
    <col min="11" max="11" width="14.7109375" style="108" customWidth="1"/>
    <col min="12" max="13" width="15.42578125" style="108" customWidth="1"/>
    <col min="14" max="14" width="13" style="108" customWidth="1"/>
    <col min="15" max="15" width="15.42578125" style="108" customWidth="1"/>
    <col min="16" max="16" width="18.85546875" style="108" customWidth="1"/>
    <col min="17" max="17" width="18.42578125" style="108" customWidth="1"/>
    <col min="18" max="1019" width="15.42578125" style="1" customWidth="1"/>
    <col min="16380" max="16384" width="11.42578125" style="1"/>
  </cols>
  <sheetData>
    <row r="1" spans="1:19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x14ac:dyDescent="0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x14ac:dyDescent="0.2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x14ac:dyDescent="0.25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19" ht="15.75" thickBot="1" x14ac:dyDescent="0.3">
      <c r="A5" s="134" t="s">
        <v>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 s="2" customFormat="1" ht="70.150000000000006" customHeight="1" thickBot="1" x14ac:dyDescent="0.25">
      <c r="A6" s="116" t="s">
        <v>5</v>
      </c>
      <c r="B6" s="117" t="s">
        <v>6</v>
      </c>
      <c r="C6" s="118" t="s">
        <v>7</v>
      </c>
      <c r="D6" s="119" t="s">
        <v>8</v>
      </c>
      <c r="E6" s="120" t="s">
        <v>9</v>
      </c>
      <c r="F6" s="121" t="s">
        <v>10</v>
      </c>
      <c r="G6" s="122" t="s">
        <v>11</v>
      </c>
      <c r="H6" s="123" t="s">
        <v>12</v>
      </c>
      <c r="I6" s="124" t="s">
        <v>13</v>
      </c>
      <c r="J6" s="125" t="s">
        <v>14</v>
      </c>
      <c r="K6" s="121" t="s">
        <v>15</v>
      </c>
      <c r="L6" s="123" t="s">
        <v>16</v>
      </c>
      <c r="M6" s="121" t="s">
        <v>17</v>
      </c>
      <c r="N6" s="126" t="s">
        <v>18</v>
      </c>
      <c r="O6" s="127" t="s">
        <v>19</v>
      </c>
      <c r="P6" s="121" t="s">
        <v>20</v>
      </c>
      <c r="Q6" s="128" t="s">
        <v>21</v>
      </c>
      <c r="R6" s="129" t="s">
        <v>22</v>
      </c>
      <c r="S6" s="130" t="s">
        <v>23</v>
      </c>
    </row>
    <row r="7" spans="1:19" s="2" customFormat="1" ht="16.5" customHeight="1" x14ac:dyDescent="0.2">
      <c r="A7" s="135" t="s">
        <v>24</v>
      </c>
      <c r="B7" s="135"/>
      <c r="C7" s="110">
        <f>C8+C105</f>
        <v>2919132</v>
      </c>
      <c r="D7" s="111">
        <f>D8+D107</f>
        <v>0</v>
      </c>
      <c r="E7" s="112">
        <f>E8+E105</f>
        <v>2919132</v>
      </c>
      <c r="F7" s="111">
        <f>F8+F105</f>
        <v>0</v>
      </c>
      <c r="G7" s="111">
        <f t="shared" ref="G7:P7" si="0">G8+G105</f>
        <v>2919132</v>
      </c>
      <c r="H7" s="113">
        <f t="shared" si="0"/>
        <v>1424026</v>
      </c>
      <c r="I7" s="111">
        <f t="shared" si="0"/>
        <v>146865.60000000001</v>
      </c>
      <c r="J7" s="111">
        <f t="shared" si="0"/>
        <v>861020.3600000001</v>
      </c>
      <c r="K7" s="111">
        <f t="shared" si="0"/>
        <v>1237732.58</v>
      </c>
      <c r="L7" s="111">
        <f>L8+L105</f>
        <v>333158.73999999993</v>
      </c>
      <c r="M7" s="111">
        <f t="shared" si="0"/>
        <v>1495106</v>
      </c>
      <c r="N7" s="111">
        <f t="shared" si="0"/>
        <v>1681399.1400000006</v>
      </c>
      <c r="O7" s="114">
        <f t="shared" si="0"/>
        <v>590395.3600000001</v>
      </c>
      <c r="P7" s="111">
        <f t="shared" si="0"/>
        <v>647337.22</v>
      </c>
      <c r="Q7" s="115">
        <f t="shared" ref="Q7:Q32" si="1">SUM(K7/H7*1)</f>
        <v>0.86917835769852525</v>
      </c>
      <c r="R7" s="115">
        <f t="shared" ref="R7:R32" si="2">SUM(J7/G7*1)</f>
        <v>0.29495766549782609</v>
      </c>
      <c r="S7" s="115">
        <f t="shared" ref="S7:S32" si="3">SUM(K7/G7*1)</f>
        <v>0.42400706100306534</v>
      </c>
    </row>
    <row r="8" spans="1:19" s="2" customFormat="1" ht="16.5" customHeight="1" x14ac:dyDescent="0.2">
      <c r="A8" s="131" t="s">
        <v>25</v>
      </c>
      <c r="B8" s="131"/>
      <c r="C8" s="5">
        <f>C9+C20+C55+C90+C98</f>
        <v>2869132</v>
      </c>
      <c r="D8" s="6">
        <f>D9+D20+D55+D90+D98+D105</f>
        <v>0</v>
      </c>
      <c r="E8" s="7">
        <f>E9+E20+E55+E90+E98</f>
        <v>2869132</v>
      </c>
      <c r="F8" s="6">
        <f>F9+F20+F55+F90+F98+F105</f>
        <v>0</v>
      </c>
      <c r="G8" s="6">
        <f t="shared" ref="G8:P8" si="4">G9+G20+G55+G90+G98</f>
        <v>2869132</v>
      </c>
      <c r="H8" s="8">
        <f t="shared" si="4"/>
        <v>1374026</v>
      </c>
      <c r="I8" s="6">
        <f t="shared" si="4"/>
        <v>146865.60000000001</v>
      </c>
      <c r="J8" s="6">
        <f t="shared" si="4"/>
        <v>814376.38000000012</v>
      </c>
      <c r="K8" s="6">
        <f t="shared" si="4"/>
        <v>1188417.1000000001</v>
      </c>
      <c r="L8" s="6">
        <f t="shared" si="4"/>
        <v>332474.21999999991</v>
      </c>
      <c r="M8" s="6">
        <f t="shared" si="4"/>
        <v>1495106</v>
      </c>
      <c r="N8" s="6">
        <f t="shared" si="4"/>
        <v>1680714.6200000006</v>
      </c>
      <c r="O8" s="9">
        <f t="shared" si="4"/>
        <v>554956.96000000008</v>
      </c>
      <c r="P8" s="6">
        <f t="shared" si="4"/>
        <v>633460.14</v>
      </c>
      <c r="Q8" s="10">
        <f t="shared" si="1"/>
        <v>0.86491602051198457</v>
      </c>
      <c r="R8" s="10">
        <f t="shared" si="2"/>
        <v>0.28384068073549773</v>
      </c>
      <c r="S8" s="10">
        <f t="shared" si="3"/>
        <v>0.41420788586931523</v>
      </c>
    </row>
    <row r="9" spans="1:19" s="2" customFormat="1" ht="12" x14ac:dyDescent="0.2">
      <c r="A9" s="11">
        <v>0</v>
      </c>
      <c r="B9" s="12" t="s">
        <v>26</v>
      </c>
      <c r="C9" s="13">
        <f>SUM(C10:C19)</f>
        <v>2156795</v>
      </c>
      <c r="D9" s="14">
        <f>SUM(D10:D19)</f>
        <v>0</v>
      </c>
      <c r="E9" s="15">
        <f>SUM(E10:E19)</f>
        <v>2156795</v>
      </c>
      <c r="F9" s="14">
        <f>SUM(F10:F19)</f>
        <v>0</v>
      </c>
      <c r="G9" s="14">
        <f t="shared" ref="G9:P9" si="5">SUM(G10:G19)</f>
        <v>2156795</v>
      </c>
      <c r="H9" s="14">
        <f t="shared" si="5"/>
        <v>682723</v>
      </c>
      <c r="I9" s="14">
        <f t="shared" si="5"/>
        <v>0</v>
      </c>
      <c r="J9" s="14">
        <f t="shared" si="5"/>
        <v>551443.27</v>
      </c>
      <c r="K9" s="14">
        <f t="shared" si="5"/>
        <v>623095.77000000014</v>
      </c>
      <c r="L9" s="14">
        <f t="shared" si="5"/>
        <v>59627.229999999996</v>
      </c>
      <c r="M9" s="14">
        <f t="shared" si="5"/>
        <v>1474072</v>
      </c>
      <c r="N9" s="14">
        <f t="shared" si="5"/>
        <v>1533699.2300000004</v>
      </c>
      <c r="O9" s="14">
        <f t="shared" si="5"/>
        <v>475607.97000000003</v>
      </c>
      <c r="P9" s="14">
        <f t="shared" si="5"/>
        <v>147487.80000000002</v>
      </c>
      <c r="Q9" s="4">
        <f t="shared" si="1"/>
        <v>0.9126626318433686</v>
      </c>
      <c r="R9" s="16">
        <f t="shared" si="2"/>
        <v>0.25567718304243103</v>
      </c>
      <c r="S9" s="16">
        <f t="shared" si="3"/>
        <v>0.28889893105278902</v>
      </c>
    </row>
    <row r="10" spans="1:19" x14ac:dyDescent="0.25">
      <c r="A10" s="17">
        <v>1</v>
      </c>
      <c r="B10" s="18" t="s">
        <v>27</v>
      </c>
      <c r="C10" s="19">
        <v>1760820</v>
      </c>
      <c r="D10" s="20">
        <v>0</v>
      </c>
      <c r="E10" s="21">
        <f>C10+D10</f>
        <v>1760820</v>
      </c>
      <c r="F10" s="22">
        <v>-16647</v>
      </c>
      <c r="G10" s="23">
        <f t="shared" ref="G10:G19" si="6">SUM(E10+F10)</f>
        <v>1744173</v>
      </c>
      <c r="H10" s="24">
        <f>130000+136000+121353+146735</f>
        <v>534088</v>
      </c>
      <c r="I10" s="25">
        <v>0</v>
      </c>
      <c r="J10" s="22">
        <f>116400+112700+110700+114117.5</f>
        <v>453917.5</v>
      </c>
      <c r="K10" s="22">
        <f>130000+133135+112700+146735</f>
        <v>522570</v>
      </c>
      <c r="L10" s="26">
        <f t="shared" ref="L10:L19" si="7">SUM(H10-K10)</f>
        <v>11518</v>
      </c>
      <c r="M10" s="26">
        <f t="shared" ref="M10:M19" si="8">SUM(G10-H10)</f>
        <v>1210085</v>
      </c>
      <c r="N10" s="26">
        <f t="shared" ref="N10:N19" si="9">SUM(-I10+L10+M10)</f>
        <v>1221603</v>
      </c>
      <c r="O10" s="27">
        <f>94702.38+113466.05+111579.11+93776.46</f>
        <v>413524</v>
      </c>
      <c r="P10" s="28">
        <f t="shared" ref="P10:P19" si="10">K10-O10</f>
        <v>109046</v>
      </c>
      <c r="Q10" s="29">
        <f t="shared" si="1"/>
        <v>0.97843426551429724</v>
      </c>
      <c r="R10" s="29">
        <f t="shared" si="2"/>
        <v>0.26024797998822363</v>
      </c>
      <c r="S10" s="29">
        <f t="shared" si="3"/>
        <v>0.29960904107562725</v>
      </c>
    </row>
    <row r="11" spans="1:19" x14ac:dyDescent="0.25">
      <c r="A11" s="17" t="s">
        <v>28</v>
      </c>
      <c r="B11" s="18" t="s">
        <v>29</v>
      </c>
      <c r="C11" s="19">
        <v>54000</v>
      </c>
      <c r="D11" s="20">
        <v>0</v>
      </c>
      <c r="E11" s="21">
        <f t="shared" ref="E11:E19" si="11">C11+D11</f>
        <v>54000</v>
      </c>
      <c r="F11" s="22">
        <v>0</v>
      </c>
      <c r="G11" s="23">
        <f t="shared" si="6"/>
        <v>54000</v>
      </c>
      <c r="H11" s="24">
        <f>4500+4500+4500+4500</f>
        <v>18000</v>
      </c>
      <c r="I11" s="25">
        <v>0</v>
      </c>
      <c r="J11" s="22">
        <f>3000+3000+3000+3000</f>
        <v>12000</v>
      </c>
      <c r="K11" s="22">
        <f>4500+3000+3000+4500</f>
        <v>15000</v>
      </c>
      <c r="L11" s="26">
        <f t="shared" si="7"/>
        <v>3000</v>
      </c>
      <c r="M11" s="26">
        <f t="shared" si="8"/>
        <v>36000</v>
      </c>
      <c r="N11" s="26">
        <f t="shared" si="9"/>
        <v>39000</v>
      </c>
      <c r="O11" s="27">
        <f>2361.66+3000+3000+2361.66</f>
        <v>10723.32</v>
      </c>
      <c r="P11" s="28">
        <f t="shared" si="10"/>
        <v>4276.68</v>
      </c>
      <c r="Q11" s="29">
        <f t="shared" si="1"/>
        <v>0.83333333333333337</v>
      </c>
      <c r="R11" s="29">
        <f t="shared" si="2"/>
        <v>0.22222222222222221</v>
      </c>
      <c r="S11" s="29">
        <f t="shared" si="3"/>
        <v>0.27777777777777779</v>
      </c>
    </row>
    <row r="12" spans="1:19" x14ac:dyDescent="0.25">
      <c r="A12" s="17" t="s">
        <v>30</v>
      </c>
      <c r="B12" s="18" t="s">
        <v>31</v>
      </c>
      <c r="C12" s="19">
        <v>49500</v>
      </c>
      <c r="D12" s="20">
        <v>0</v>
      </c>
      <c r="E12" s="21">
        <f t="shared" si="11"/>
        <v>49500</v>
      </c>
      <c r="F12" s="22">
        <v>0</v>
      </c>
      <c r="G12" s="23">
        <f t="shared" si="6"/>
        <v>49500</v>
      </c>
      <c r="H12" s="24">
        <f>16500</f>
        <v>16500</v>
      </c>
      <c r="I12" s="25">
        <v>0</v>
      </c>
      <c r="J12" s="22">
        <f>12472.56+212.37</f>
        <v>12684.93</v>
      </c>
      <c r="K12" s="22">
        <f>12472.56+212.37</f>
        <v>12684.93</v>
      </c>
      <c r="L12" s="26">
        <f t="shared" si="7"/>
        <v>3815.0699999999997</v>
      </c>
      <c r="M12" s="26">
        <f t="shared" si="8"/>
        <v>33000</v>
      </c>
      <c r="N12" s="26">
        <f t="shared" si="9"/>
        <v>36815.07</v>
      </c>
      <c r="O12" s="30">
        <f>11568.39+904.17</f>
        <v>12472.56</v>
      </c>
      <c r="P12" s="28">
        <f t="shared" si="10"/>
        <v>212.3700000000008</v>
      </c>
      <c r="Q12" s="29">
        <f t="shared" si="1"/>
        <v>0.76878363636363634</v>
      </c>
      <c r="R12" s="29">
        <f t="shared" si="2"/>
        <v>0.25626121212121211</v>
      </c>
      <c r="S12" s="29">
        <f t="shared" si="3"/>
        <v>0.25626121212121211</v>
      </c>
    </row>
    <row r="13" spans="1:19" x14ac:dyDescent="0.25">
      <c r="A13" s="17" t="s">
        <v>32</v>
      </c>
      <c r="B13" s="18" t="s">
        <v>33</v>
      </c>
      <c r="C13" s="19">
        <v>232047</v>
      </c>
      <c r="D13" s="20">
        <v>0</v>
      </c>
      <c r="E13" s="21">
        <f t="shared" si="11"/>
        <v>232047</v>
      </c>
      <c r="F13" s="22">
        <v>0</v>
      </c>
      <c r="G13" s="23">
        <f t="shared" si="6"/>
        <v>232047</v>
      </c>
      <c r="H13" s="24">
        <f>19337+19337+19337+19337</f>
        <v>77348</v>
      </c>
      <c r="I13" s="25">
        <v>0</v>
      </c>
      <c r="J13" s="22">
        <f>14357.02+15057.85+13395.38</f>
        <v>42810.25</v>
      </c>
      <c r="K13" s="22">
        <f>14357.02+15057.85+13395.38</f>
        <v>42810.25</v>
      </c>
      <c r="L13" s="26">
        <f t="shared" si="7"/>
        <v>34537.75</v>
      </c>
      <c r="M13" s="26">
        <f t="shared" si="8"/>
        <v>154699</v>
      </c>
      <c r="N13" s="26">
        <f t="shared" si="9"/>
        <v>189236.75</v>
      </c>
      <c r="O13" s="30">
        <f>14357.02+15035.02</f>
        <v>29392.04</v>
      </c>
      <c r="P13" s="28">
        <f t="shared" si="10"/>
        <v>13418.21</v>
      </c>
      <c r="Q13" s="29">
        <f t="shared" si="1"/>
        <v>0.55347584940787087</v>
      </c>
      <c r="R13" s="29">
        <f t="shared" si="2"/>
        <v>0.18448956461406527</v>
      </c>
      <c r="S13" s="29">
        <f t="shared" si="3"/>
        <v>0.18448956461406527</v>
      </c>
    </row>
    <row r="14" spans="1:19" x14ac:dyDescent="0.25">
      <c r="A14" s="17" t="s">
        <v>34</v>
      </c>
      <c r="B14" s="18" t="s">
        <v>35</v>
      </c>
      <c r="C14" s="19">
        <v>26952</v>
      </c>
      <c r="D14" s="20">
        <v>0</v>
      </c>
      <c r="E14" s="21">
        <f t="shared" si="11"/>
        <v>26952</v>
      </c>
      <c r="F14" s="22">
        <v>0</v>
      </c>
      <c r="G14" s="23">
        <f t="shared" si="6"/>
        <v>26952</v>
      </c>
      <c r="H14" s="24">
        <f>2246+2246+2246+2246</f>
        <v>8984</v>
      </c>
      <c r="I14" s="25">
        <v>0</v>
      </c>
      <c r="J14" s="22">
        <f>1713+1634.25+1595.25</f>
        <v>4942.5</v>
      </c>
      <c r="K14" s="22">
        <f>1713+1634.25+1595.25</f>
        <v>4942.5</v>
      </c>
      <c r="L14" s="26">
        <f t="shared" si="7"/>
        <v>4041.5</v>
      </c>
      <c r="M14" s="26">
        <f t="shared" si="8"/>
        <v>17968</v>
      </c>
      <c r="N14" s="26">
        <f t="shared" si="9"/>
        <v>22009.5</v>
      </c>
      <c r="O14" s="30">
        <f>1713+1634.25</f>
        <v>3347.25</v>
      </c>
      <c r="P14" s="28">
        <f t="shared" si="10"/>
        <v>1595.25</v>
      </c>
      <c r="Q14" s="29">
        <f t="shared" si="1"/>
        <v>0.55014470169189666</v>
      </c>
      <c r="R14" s="29">
        <f t="shared" si="2"/>
        <v>0.18338156723063223</v>
      </c>
      <c r="S14" s="29">
        <f t="shared" si="3"/>
        <v>0.18338156723063223</v>
      </c>
    </row>
    <row r="15" spans="1:19" x14ac:dyDescent="0.25">
      <c r="A15" s="17" t="s">
        <v>36</v>
      </c>
      <c r="B15" s="18" t="s">
        <v>37</v>
      </c>
      <c r="C15" s="19">
        <v>28086</v>
      </c>
      <c r="D15" s="20">
        <v>0</v>
      </c>
      <c r="E15" s="21">
        <f t="shared" si="11"/>
        <v>28086</v>
      </c>
      <c r="F15" s="22">
        <v>0</v>
      </c>
      <c r="G15" s="23">
        <f t="shared" si="6"/>
        <v>28086</v>
      </c>
      <c r="H15" s="24">
        <f>2340+2340+2340+2340</f>
        <v>9360</v>
      </c>
      <c r="I15" s="25">
        <v>0</v>
      </c>
      <c r="J15" s="22">
        <f>2461.2+2350.95+2296.35</f>
        <v>7108.5</v>
      </c>
      <c r="K15" s="22">
        <f>2461.2+2350.95+2296.35</f>
        <v>7108.5</v>
      </c>
      <c r="L15" s="26">
        <f t="shared" si="7"/>
        <v>2251.5</v>
      </c>
      <c r="M15" s="26">
        <f t="shared" si="8"/>
        <v>18726</v>
      </c>
      <c r="N15" s="26">
        <f t="shared" si="9"/>
        <v>20977.5</v>
      </c>
      <c r="O15" s="30">
        <f>2461.2+2350.95</f>
        <v>4812.1499999999996</v>
      </c>
      <c r="P15" s="28">
        <f t="shared" si="10"/>
        <v>2296.3500000000004</v>
      </c>
      <c r="Q15" s="29">
        <f t="shared" si="1"/>
        <v>0.75945512820512817</v>
      </c>
      <c r="R15" s="29">
        <f t="shared" si="2"/>
        <v>0.25309762871181374</v>
      </c>
      <c r="S15" s="29">
        <f t="shared" si="3"/>
        <v>0.25309762871181374</v>
      </c>
    </row>
    <row r="16" spans="1:19" x14ac:dyDescent="0.25">
      <c r="A16" s="17" t="s">
        <v>38</v>
      </c>
      <c r="B16" s="18" t="s">
        <v>39</v>
      </c>
      <c r="C16" s="19">
        <v>5390</v>
      </c>
      <c r="D16" s="20">
        <v>0</v>
      </c>
      <c r="E16" s="21">
        <f t="shared" si="11"/>
        <v>5390</v>
      </c>
      <c r="F16" s="22">
        <v>-327</v>
      </c>
      <c r="G16" s="23">
        <f t="shared" si="6"/>
        <v>5063</v>
      </c>
      <c r="H16" s="24">
        <f>449+347+224+449</f>
        <v>1469</v>
      </c>
      <c r="I16" s="25">
        <v>0</v>
      </c>
      <c r="J16" s="22">
        <f>345.45+335.1+329.85</f>
        <v>1010.4</v>
      </c>
      <c r="K16" s="22">
        <f>345.45+335.1+329.85</f>
        <v>1010.4</v>
      </c>
      <c r="L16" s="26">
        <f t="shared" si="7"/>
        <v>458.6</v>
      </c>
      <c r="M16" s="26">
        <f t="shared" si="8"/>
        <v>3594</v>
      </c>
      <c r="N16" s="26">
        <f t="shared" si="9"/>
        <v>4052.6</v>
      </c>
      <c r="O16" s="30">
        <f>345.45+335.1+329.85</f>
        <v>1010.4</v>
      </c>
      <c r="P16" s="28">
        <f t="shared" si="10"/>
        <v>0</v>
      </c>
      <c r="Q16" s="29">
        <f t="shared" si="1"/>
        <v>0.68781484002722937</v>
      </c>
      <c r="R16" s="29">
        <f t="shared" si="2"/>
        <v>0.19956547501481334</v>
      </c>
      <c r="S16" s="29">
        <f t="shared" si="3"/>
        <v>0.19956547501481334</v>
      </c>
    </row>
    <row r="17" spans="1:229" x14ac:dyDescent="0.25">
      <c r="A17" s="17" t="s">
        <v>40</v>
      </c>
      <c r="B17" s="18" t="s">
        <v>41</v>
      </c>
      <c r="C17" s="31">
        <v>0</v>
      </c>
      <c r="D17" s="20">
        <v>0</v>
      </c>
      <c r="E17" s="21">
        <f t="shared" si="11"/>
        <v>0</v>
      </c>
      <c r="F17" s="23">
        <f>14217</f>
        <v>14217</v>
      </c>
      <c r="G17" s="23">
        <f>SUM(E17+F17)</f>
        <v>14217</v>
      </c>
      <c r="H17" s="24">
        <v>14217</v>
      </c>
      <c r="I17" s="25">
        <v>0</v>
      </c>
      <c r="J17" s="25">
        <f>14216.66</f>
        <v>14216.66</v>
      </c>
      <c r="K17" s="22">
        <f>14216.66</f>
        <v>14216.66</v>
      </c>
      <c r="L17" s="26">
        <f t="shared" si="7"/>
        <v>0.34000000000014552</v>
      </c>
      <c r="M17" s="26">
        <f t="shared" si="8"/>
        <v>0</v>
      </c>
      <c r="N17" s="26">
        <f t="shared" si="9"/>
        <v>0.34000000000014552</v>
      </c>
      <c r="O17" s="30">
        <v>0</v>
      </c>
      <c r="P17" s="28">
        <f t="shared" si="10"/>
        <v>14216.66</v>
      </c>
      <c r="Q17" s="29">
        <f t="shared" si="1"/>
        <v>0.99997608496869939</v>
      </c>
      <c r="R17" s="29">
        <f t="shared" si="2"/>
        <v>0.99997608496869939</v>
      </c>
      <c r="S17" s="29">
        <f t="shared" si="3"/>
        <v>0.99997608496869939</v>
      </c>
    </row>
    <row r="18" spans="1:229" x14ac:dyDescent="0.25">
      <c r="A18" s="17" t="s">
        <v>42</v>
      </c>
      <c r="B18" s="18" t="s">
        <v>43</v>
      </c>
      <c r="C18" s="31">
        <v>0</v>
      </c>
      <c r="D18" s="20">
        <v>0</v>
      </c>
      <c r="E18" s="21">
        <f t="shared" si="11"/>
        <v>0</v>
      </c>
      <c r="F18" s="23">
        <f>121</f>
        <v>121</v>
      </c>
      <c r="G18" s="23">
        <f t="shared" si="6"/>
        <v>121</v>
      </c>
      <c r="H18" s="24">
        <v>121</v>
      </c>
      <c r="I18" s="25">
        <v>0</v>
      </c>
      <c r="J18" s="25">
        <f>120.69-3.05</f>
        <v>117.64</v>
      </c>
      <c r="K18" s="22">
        <f>120.69-3.05</f>
        <v>117.64</v>
      </c>
      <c r="L18" s="26">
        <f t="shared" si="7"/>
        <v>3.3599999999999994</v>
      </c>
      <c r="M18" s="26">
        <f t="shared" si="8"/>
        <v>0</v>
      </c>
      <c r="N18" s="26">
        <f t="shared" si="9"/>
        <v>3.3599999999999994</v>
      </c>
      <c r="O18" s="30">
        <v>0</v>
      </c>
      <c r="P18" s="28">
        <f t="shared" si="10"/>
        <v>117.64</v>
      </c>
      <c r="Q18" s="29">
        <f t="shared" si="1"/>
        <v>0.97223140495867766</v>
      </c>
      <c r="R18" s="29">
        <f t="shared" si="2"/>
        <v>0.97223140495867766</v>
      </c>
      <c r="S18" s="29">
        <f t="shared" si="3"/>
        <v>0.97223140495867766</v>
      </c>
    </row>
    <row r="19" spans="1:229" x14ac:dyDescent="0.25">
      <c r="A19" s="17" t="s">
        <v>44</v>
      </c>
      <c r="B19" s="32" t="s">
        <v>45</v>
      </c>
      <c r="C19" s="31">
        <v>0</v>
      </c>
      <c r="D19" s="20">
        <v>0</v>
      </c>
      <c r="E19" s="21">
        <f t="shared" si="11"/>
        <v>0</v>
      </c>
      <c r="F19" s="23">
        <f>327+2309</f>
        <v>2636</v>
      </c>
      <c r="G19" s="23">
        <f t="shared" si="6"/>
        <v>2636</v>
      </c>
      <c r="H19" s="24">
        <f>327+2309</f>
        <v>2636</v>
      </c>
      <c r="I19" s="25">
        <v>0</v>
      </c>
      <c r="J19" s="25">
        <f>326.25+2308.97-0.33</f>
        <v>2634.89</v>
      </c>
      <c r="K19" s="22">
        <f>326.25+2308.97-0.33</f>
        <v>2634.89</v>
      </c>
      <c r="L19" s="26">
        <f t="shared" si="7"/>
        <v>1.1100000000001273</v>
      </c>
      <c r="M19" s="26">
        <f t="shared" si="8"/>
        <v>0</v>
      </c>
      <c r="N19" s="26">
        <f t="shared" si="9"/>
        <v>1.1100000000001273</v>
      </c>
      <c r="O19" s="30">
        <f>326.25</f>
        <v>326.25</v>
      </c>
      <c r="P19" s="28">
        <f t="shared" si="10"/>
        <v>2308.64</v>
      </c>
      <c r="Q19" s="29">
        <f t="shared" si="1"/>
        <v>0.99957890743550826</v>
      </c>
      <c r="R19" s="29">
        <f t="shared" si="2"/>
        <v>0.99957890743550826</v>
      </c>
      <c r="S19" s="29">
        <f t="shared" si="3"/>
        <v>0.99957890743550826</v>
      </c>
    </row>
    <row r="20" spans="1:229" s="2" customFormat="1" ht="12" x14ac:dyDescent="0.2">
      <c r="A20" s="33">
        <v>1</v>
      </c>
      <c r="B20" s="34" t="s">
        <v>46</v>
      </c>
      <c r="C20" s="35">
        <f>SUM(C21:C54)</f>
        <v>392425</v>
      </c>
      <c r="D20" s="36">
        <f>SUM(D21:D54)</f>
        <v>0</v>
      </c>
      <c r="E20" s="35">
        <f>SUM(E21:E54)</f>
        <v>392425</v>
      </c>
      <c r="F20" s="36">
        <f>SUM(F21:F54)</f>
        <v>30296</v>
      </c>
      <c r="G20" s="36">
        <f t="shared" ref="G20:P20" si="12">SUM(G21:G54)</f>
        <v>422721</v>
      </c>
      <c r="H20" s="36">
        <f t="shared" si="12"/>
        <v>401687</v>
      </c>
      <c r="I20" s="36">
        <f t="shared" si="12"/>
        <v>146865.60000000001</v>
      </c>
      <c r="J20" s="36">
        <f t="shared" si="12"/>
        <v>129189.79</v>
      </c>
      <c r="K20" s="36">
        <f t="shared" si="12"/>
        <v>383952.22000000009</v>
      </c>
      <c r="L20" s="36">
        <f t="shared" si="12"/>
        <v>164600.37999999995</v>
      </c>
      <c r="M20" s="36">
        <f t="shared" si="12"/>
        <v>21034</v>
      </c>
      <c r="N20" s="36">
        <f t="shared" si="12"/>
        <v>38768.77999999997</v>
      </c>
      <c r="O20" s="36">
        <f t="shared" si="12"/>
        <v>41042.73000000001</v>
      </c>
      <c r="P20" s="36">
        <f t="shared" si="12"/>
        <v>342909.49000000005</v>
      </c>
      <c r="Q20" s="37">
        <f t="shared" si="1"/>
        <v>0.9558492557638163</v>
      </c>
      <c r="R20" s="4">
        <f t="shared" si="2"/>
        <v>0.30561479084313292</v>
      </c>
      <c r="S20" s="4">
        <f t="shared" si="3"/>
        <v>0.90828754663241262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</row>
    <row r="21" spans="1:229" x14ac:dyDescent="0.25">
      <c r="A21" s="17">
        <v>101</v>
      </c>
      <c r="B21" s="18" t="s">
        <v>47</v>
      </c>
      <c r="C21" s="19">
        <v>158000</v>
      </c>
      <c r="D21" s="20">
        <v>0</v>
      </c>
      <c r="E21" s="21">
        <f>C21+D21</f>
        <v>158000</v>
      </c>
      <c r="F21" s="22">
        <f>3308+13000</f>
        <v>16308</v>
      </c>
      <c r="G21" s="23">
        <f t="shared" ref="G21:G36" si="13">SUM(E21+F21)</f>
        <v>174308</v>
      </c>
      <c r="H21" s="24">
        <f>100000+61308+13000</f>
        <v>174308</v>
      </c>
      <c r="I21" s="19">
        <f>99489.6+47376</f>
        <v>146865.60000000001</v>
      </c>
      <c r="J21" s="22">
        <v>0</v>
      </c>
      <c r="K21" s="22">
        <f>99489.6+47376+14442+12119.16</f>
        <v>173426.76</v>
      </c>
      <c r="L21" s="26">
        <f>SUM(H21-K21+I21)</f>
        <v>147746.84</v>
      </c>
      <c r="M21" s="26">
        <f t="shared" ref="M21:M54" si="14">SUM(G21-H21)</f>
        <v>0</v>
      </c>
      <c r="N21" s="26">
        <f t="shared" ref="N21:N54" si="15">SUM(-I21+L21+M21)</f>
        <v>881.23999999999069</v>
      </c>
      <c r="O21" s="30">
        <v>0</v>
      </c>
      <c r="P21" s="28">
        <f t="shared" ref="P21:P36" si="16">K21-O21</f>
        <v>173426.76</v>
      </c>
      <c r="Q21" s="29">
        <f t="shared" si="1"/>
        <v>0.99494435137802062</v>
      </c>
      <c r="R21" s="29">
        <f t="shared" si="2"/>
        <v>0</v>
      </c>
      <c r="S21" s="29">
        <f t="shared" si="3"/>
        <v>0.99494435137802062</v>
      </c>
    </row>
    <row r="22" spans="1:229" x14ac:dyDescent="0.25">
      <c r="A22" s="17">
        <v>102</v>
      </c>
      <c r="B22" s="18" t="s">
        <v>48</v>
      </c>
      <c r="C22" s="19">
        <v>12000</v>
      </c>
      <c r="D22" s="20">
        <v>0</v>
      </c>
      <c r="E22" s="21">
        <f t="shared" ref="E22:E54" si="17">C22+D22</f>
        <v>12000</v>
      </c>
      <c r="F22" s="22">
        <f>-11165+1000</f>
        <v>-10165</v>
      </c>
      <c r="G22" s="23">
        <f t="shared" si="13"/>
        <v>1835</v>
      </c>
      <c r="H22" s="39">
        <f>2000-1165+1000</f>
        <v>1835</v>
      </c>
      <c r="I22" s="25">
        <v>0</v>
      </c>
      <c r="J22" s="22">
        <f>834.6+406.6</f>
        <v>1241.2</v>
      </c>
      <c r="K22" s="22">
        <f>834.6+406.6</f>
        <v>1241.2</v>
      </c>
      <c r="L22" s="26">
        <f>SUM(H22-K22+I22)</f>
        <v>593.79999999999995</v>
      </c>
      <c r="M22" s="26">
        <f t="shared" si="14"/>
        <v>0</v>
      </c>
      <c r="N22" s="26">
        <f t="shared" si="15"/>
        <v>593.79999999999995</v>
      </c>
      <c r="O22" s="30">
        <v>0</v>
      </c>
      <c r="P22" s="28">
        <f t="shared" si="16"/>
        <v>1241.2</v>
      </c>
      <c r="Q22" s="29">
        <f t="shared" si="1"/>
        <v>0.67640326975476839</v>
      </c>
      <c r="R22" s="29">
        <f t="shared" si="2"/>
        <v>0.67640326975476839</v>
      </c>
      <c r="S22" s="29">
        <f t="shared" si="3"/>
        <v>0.67640326975476839</v>
      </c>
    </row>
    <row r="23" spans="1:229" x14ac:dyDescent="0.25">
      <c r="A23" s="17" t="s">
        <v>49</v>
      </c>
      <c r="B23" s="18" t="s">
        <v>50</v>
      </c>
      <c r="C23" s="31">
        <v>0</v>
      </c>
      <c r="D23" s="20">
        <v>0</v>
      </c>
      <c r="E23" s="21">
        <f t="shared" si="17"/>
        <v>0</v>
      </c>
      <c r="F23" s="23">
        <f>11895-1109</f>
        <v>10786</v>
      </c>
      <c r="G23" s="23">
        <f t="shared" si="13"/>
        <v>10786</v>
      </c>
      <c r="H23" s="39">
        <f>11895-1109</f>
        <v>10786</v>
      </c>
      <c r="I23" s="25">
        <v>0</v>
      </c>
      <c r="J23" s="22">
        <f>963+9822.6</f>
        <v>10785.6</v>
      </c>
      <c r="K23" s="22">
        <f>963+9822.6</f>
        <v>10785.6</v>
      </c>
      <c r="L23" s="26">
        <f>SUM(H23+I23-K23)</f>
        <v>0.3999999999996362</v>
      </c>
      <c r="M23" s="26">
        <f t="shared" si="14"/>
        <v>0</v>
      </c>
      <c r="N23" s="26">
        <f t="shared" si="15"/>
        <v>0.3999999999996362</v>
      </c>
      <c r="O23" s="30">
        <f>963</f>
        <v>963</v>
      </c>
      <c r="P23" s="28">
        <f t="shared" si="16"/>
        <v>9822.6</v>
      </c>
      <c r="Q23" s="29">
        <f t="shared" si="1"/>
        <v>0.99996291488967182</v>
      </c>
      <c r="R23" s="29">
        <f t="shared" si="2"/>
        <v>0.99996291488967182</v>
      </c>
      <c r="S23" s="29">
        <f t="shared" si="3"/>
        <v>0.99996291488967182</v>
      </c>
    </row>
    <row r="24" spans="1:229" x14ac:dyDescent="0.25">
      <c r="A24" s="17">
        <v>109</v>
      </c>
      <c r="B24" s="18" t="s">
        <v>51</v>
      </c>
      <c r="C24" s="31">
        <v>0</v>
      </c>
      <c r="D24" s="20">
        <v>0</v>
      </c>
      <c r="E24" s="21">
        <f t="shared" si="17"/>
        <v>0</v>
      </c>
      <c r="F24" s="23">
        <f>14284-13000</f>
        <v>1284</v>
      </c>
      <c r="G24" s="23">
        <f t="shared" si="13"/>
        <v>1284</v>
      </c>
      <c r="H24" s="39">
        <f>14284-13000</f>
        <v>1284</v>
      </c>
      <c r="I24" s="25">
        <v>0</v>
      </c>
      <c r="J24" s="22">
        <f>1284</f>
        <v>1284</v>
      </c>
      <c r="K24" s="22">
        <f>14284-13000</f>
        <v>1284</v>
      </c>
      <c r="L24" s="26">
        <f t="shared" ref="L24:L54" si="18">SUM(H24-K24)</f>
        <v>0</v>
      </c>
      <c r="M24" s="26">
        <f t="shared" si="14"/>
        <v>0</v>
      </c>
      <c r="N24" s="26">
        <f t="shared" si="15"/>
        <v>0</v>
      </c>
      <c r="O24" s="30">
        <v>0</v>
      </c>
      <c r="P24" s="28">
        <f t="shared" si="16"/>
        <v>1284</v>
      </c>
      <c r="Q24" s="29">
        <f t="shared" si="1"/>
        <v>1</v>
      </c>
      <c r="R24" s="29">
        <f t="shared" si="2"/>
        <v>1</v>
      </c>
      <c r="S24" s="29">
        <f t="shared" si="3"/>
        <v>1</v>
      </c>
    </row>
    <row r="25" spans="1:229" x14ac:dyDescent="0.25">
      <c r="A25" s="17">
        <v>111</v>
      </c>
      <c r="B25" s="18" t="s">
        <v>52</v>
      </c>
      <c r="C25" s="19">
        <v>495</v>
      </c>
      <c r="D25" s="20">
        <v>0</v>
      </c>
      <c r="E25" s="21">
        <f t="shared" si="17"/>
        <v>495</v>
      </c>
      <c r="F25" s="22">
        <v>0</v>
      </c>
      <c r="G25" s="23">
        <f t="shared" si="13"/>
        <v>495</v>
      </c>
      <c r="H25" s="24">
        <f>50+50+50+50</f>
        <v>200</v>
      </c>
      <c r="I25" s="25">
        <v>0</v>
      </c>
      <c r="J25" s="22">
        <f>27.3+11.9+11.9</f>
        <v>51.1</v>
      </c>
      <c r="K25" s="22">
        <f>27.3+11.9+11.9</f>
        <v>51.1</v>
      </c>
      <c r="L25" s="26">
        <f t="shared" si="18"/>
        <v>148.9</v>
      </c>
      <c r="M25" s="26">
        <f t="shared" si="14"/>
        <v>295</v>
      </c>
      <c r="N25" s="26">
        <f t="shared" si="15"/>
        <v>443.9</v>
      </c>
      <c r="O25" s="30">
        <f>27.33+11.87</f>
        <v>39.199999999999996</v>
      </c>
      <c r="P25" s="28">
        <f t="shared" si="16"/>
        <v>11.900000000000006</v>
      </c>
      <c r="Q25" s="29">
        <f t="shared" si="1"/>
        <v>0.2555</v>
      </c>
      <c r="R25" s="29">
        <f t="shared" si="2"/>
        <v>0.10323232323232323</v>
      </c>
      <c r="S25" s="29">
        <f t="shared" si="3"/>
        <v>0.10323232323232323</v>
      </c>
    </row>
    <row r="26" spans="1:229" x14ac:dyDescent="0.25">
      <c r="A26" s="17" t="s">
        <v>53</v>
      </c>
      <c r="B26" s="18" t="s">
        <v>54</v>
      </c>
      <c r="C26" s="19">
        <v>500</v>
      </c>
      <c r="D26" s="20">
        <v>0</v>
      </c>
      <c r="E26" s="21">
        <f t="shared" si="17"/>
        <v>500</v>
      </c>
      <c r="F26" s="22">
        <v>0</v>
      </c>
      <c r="G26" s="23">
        <f t="shared" si="13"/>
        <v>500</v>
      </c>
      <c r="H26" s="24">
        <f>20+50+50+50</f>
        <v>170</v>
      </c>
      <c r="I26" s="25">
        <v>0</v>
      </c>
      <c r="J26" s="22">
        <v>0</v>
      </c>
      <c r="K26" s="22">
        <v>0</v>
      </c>
      <c r="L26" s="26">
        <f t="shared" si="18"/>
        <v>170</v>
      </c>
      <c r="M26" s="26">
        <f t="shared" si="14"/>
        <v>330</v>
      </c>
      <c r="N26" s="26">
        <f t="shared" si="15"/>
        <v>500</v>
      </c>
      <c r="O26" s="30">
        <v>0</v>
      </c>
      <c r="P26" s="28">
        <f t="shared" si="16"/>
        <v>0</v>
      </c>
      <c r="Q26" s="29">
        <f t="shared" si="1"/>
        <v>0</v>
      </c>
      <c r="R26" s="29">
        <f t="shared" si="2"/>
        <v>0</v>
      </c>
      <c r="S26" s="29">
        <f t="shared" si="3"/>
        <v>0</v>
      </c>
    </row>
    <row r="27" spans="1:229" x14ac:dyDescent="0.25">
      <c r="A27" s="17" t="s">
        <v>55</v>
      </c>
      <c r="B27" s="18" t="s">
        <v>56</v>
      </c>
      <c r="C27" s="19">
        <v>500</v>
      </c>
      <c r="D27" s="20">
        <v>0</v>
      </c>
      <c r="E27" s="21">
        <f t="shared" si="17"/>
        <v>500</v>
      </c>
      <c r="F27" s="22">
        <v>0</v>
      </c>
      <c r="G27" s="23">
        <f t="shared" si="13"/>
        <v>500</v>
      </c>
      <c r="H27" s="24">
        <f>50+50+40+40</f>
        <v>180</v>
      </c>
      <c r="I27" s="25">
        <v>0</v>
      </c>
      <c r="J27" s="22">
        <v>0</v>
      </c>
      <c r="K27" s="22">
        <v>0</v>
      </c>
      <c r="L27" s="26">
        <f t="shared" si="18"/>
        <v>180</v>
      </c>
      <c r="M27" s="26">
        <f t="shared" si="14"/>
        <v>320</v>
      </c>
      <c r="N27" s="26">
        <f t="shared" si="15"/>
        <v>500</v>
      </c>
      <c r="O27" s="30">
        <v>0</v>
      </c>
      <c r="P27" s="28">
        <f t="shared" si="16"/>
        <v>0</v>
      </c>
      <c r="Q27" s="29">
        <f t="shared" si="1"/>
        <v>0</v>
      </c>
      <c r="R27" s="29">
        <f t="shared" si="2"/>
        <v>0</v>
      </c>
      <c r="S27" s="29">
        <f t="shared" si="3"/>
        <v>0</v>
      </c>
    </row>
    <row r="28" spans="1:229" x14ac:dyDescent="0.25">
      <c r="A28" s="17" t="s">
        <v>57</v>
      </c>
      <c r="B28" s="18" t="s">
        <v>58</v>
      </c>
      <c r="C28" s="19">
        <v>16339</v>
      </c>
      <c r="D28" s="20">
        <v>0</v>
      </c>
      <c r="E28" s="21">
        <f t="shared" si="17"/>
        <v>16339</v>
      </c>
      <c r="F28" s="22">
        <v>0</v>
      </c>
      <c r="G28" s="23">
        <f t="shared" si="13"/>
        <v>16339</v>
      </c>
      <c r="H28" s="24">
        <f>1361+1361+1361+1361</f>
        <v>5444</v>
      </c>
      <c r="I28" s="25">
        <v>0</v>
      </c>
      <c r="J28" s="22">
        <f>1731.77+1538.36+1420.6</f>
        <v>4690.7299999999996</v>
      </c>
      <c r="K28" s="22">
        <f>1731.77+1538.36+1420.6</f>
        <v>4690.7299999999996</v>
      </c>
      <c r="L28" s="26">
        <f t="shared" si="18"/>
        <v>753.27000000000044</v>
      </c>
      <c r="M28" s="26">
        <f t="shared" si="14"/>
        <v>10895</v>
      </c>
      <c r="N28" s="26">
        <f t="shared" si="15"/>
        <v>11648.27</v>
      </c>
      <c r="O28" s="30">
        <f>3270.13+1420.6</f>
        <v>4690.7299999999996</v>
      </c>
      <c r="P28" s="28">
        <f t="shared" si="16"/>
        <v>0</v>
      </c>
      <c r="Q28" s="29">
        <f t="shared" si="1"/>
        <v>0.86163299044819974</v>
      </c>
      <c r="R28" s="29">
        <f t="shared" si="2"/>
        <v>0.28708794907889096</v>
      </c>
      <c r="S28" s="29">
        <f t="shared" si="3"/>
        <v>0.28708794907889096</v>
      </c>
    </row>
    <row r="29" spans="1:229" x14ac:dyDescent="0.25">
      <c r="A29" s="17" t="s">
        <v>59</v>
      </c>
      <c r="B29" s="18" t="s">
        <v>60</v>
      </c>
      <c r="C29" s="19">
        <v>18388</v>
      </c>
      <c r="D29" s="20">
        <v>0</v>
      </c>
      <c r="E29" s="21">
        <f t="shared" si="17"/>
        <v>18388</v>
      </c>
      <c r="F29" s="22">
        <f>250</f>
        <v>250</v>
      </c>
      <c r="G29" s="23">
        <f t="shared" si="13"/>
        <v>18638</v>
      </c>
      <c r="H29" s="24">
        <f>4000+1000+1250+3194</f>
        <v>9444</v>
      </c>
      <c r="I29" s="25">
        <v>0</v>
      </c>
      <c r="J29" s="22">
        <f>2620.63+3627.16+26.28</f>
        <v>6274.07</v>
      </c>
      <c r="K29" s="22">
        <f>2620.63+3627.16+26.28</f>
        <v>6274.07</v>
      </c>
      <c r="L29" s="26">
        <f t="shared" si="18"/>
        <v>3169.9300000000003</v>
      </c>
      <c r="M29" s="26">
        <f t="shared" si="14"/>
        <v>9194</v>
      </c>
      <c r="N29" s="26">
        <f t="shared" si="15"/>
        <v>12363.93</v>
      </c>
      <c r="O29" s="30">
        <f>6247.79+26.28</f>
        <v>6274.07</v>
      </c>
      <c r="P29" s="28">
        <f t="shared" si="16"/>
        <v>0</v>
      </c>
      <c r="Q29" s="29">
        <f t="shared" si="1"/>
        <v>0.66434455739093601</v>
      </c>
      <c r="R29" s="29">
        <f t="shared" si="2"/>
        <v>0.33662785706620879</v>
      </c>
      <c r="S29" s="29">
        <f t="shared" si="3"/>
        <v>0.33662785706620879</v>
      </c>
    </row>
    <row r="30" spans="1:229" x14ac:dyDescent="0.25">
      <c r="A30" s="17" t="s">
        <v>61</v>
      </c>
      <c r="B30" s="18" t="s">
        <v>62</v>
      </c>
      <c r="C30" s="19">
        <v>1003</v>
      </c>
      <c r="D30" s="20">
        <v>0</v>
      </c>
      <c r="E30" s="21">
        <f t="shared" si="17"/>
        <v>1003</v>
      </c>
      <c r="F30" s="22">
        <v>167</v>
      </c>
      <c r="G30" s="23">
        <f t="shared" si="13"/>
        <v>1170</v>
      </c>
      <c r="H30" s="24">
        <f>1170</f>
        <v>1170</v>
      </c>
      <c r="I30" s="25">
        <v>0</v>
      </c>
      <c r="J30" s="22">
        <f>1162.43</f>
        <v>1162.43</v>
      </c>
      <c r="K30" s="22">
        <f>1162.43</f>
        <v>1162.43</v>
      </c>
      <c r="L30" s="26">
        <f t="shared" si="18"/>
        <v>7.5699999999999363</v>
      </c>
      <c r="M30" s="26">
        <f t="shared" si="14"/>
        <v>0</v>
      </c>
      <c r="N30" s="26">
        <f t="shared" si="15"/>
        <v>7.5699999999999363</v>
      </c>
      <c r="O30" s="30">
        <v>0</v>
      </c>
      <c r="P30" s="28">
        <f t="shared" si="16"/>
        <v>1162.43</v>
      </c>
      <c r="Q30" s="29">
        <f t="shared" si="1"/>
        <v>0.99352991452991457</v>
      </c>
      <c r="R30" s="29">
        <f t="shared" si="2"/>
        <v>0.99352991452991457</v>
      </c>
      <c r="S30" s="29">
        <f t="shared" si="3"/>
        <v>0.99352991452991457</v>
      </c>
    </row>
    <row r="31" spans="1:229" x14ac:dyDescent="0.25">
      <c r="A31" s="17">
        <v>117</v>
      </c>
      <c r="B31" s="18" t="s">
        <v>63</v>
      </c>
      <c r="C31" s="19">
        <v>1926</v>
      </c>
      <c r="D31" s="20">
        <v>0</v>
      </c>
      <c r="E31" s="21">
        <f t="shared" si="17"/>
        <v>1926</v>
      </c>
      <c r="F31" s="22">
        <v>-167</v>
      </c>
      <c r="G31" s="23">
        <f t="shared" si="13"/>
        <v>1759</v>
      </c>
      <c r="H31" s="24">
        <f>1926-167</f>
        <v>1759</v>
      </c>
      <c r="I31" s="25">
        <v>0</v>
      </c>
      <c r="J31" s="22">
        <v>1733.4</v>
      </c>
      <c r="K31" s="22">
        <v>1733.4</v>
      </c>
      <c r="L31" s="26">
        <f t="shared" si="18"/>
        <v>25.599999999999909</v>
      </c>
      <c r="M31" s="26">
        <f t="shared" si="14"/>
        <v>0</v>
      </c>
      <c r="N31" s="26">
        <f t="shared" si="15"/>
        <v>25.599999999999909</v>
      </c>
      <c r="O31" s="30">
        <v>0</v>
      </c>
      <c r="P31" s="28">
        <f t="shared" si="16"/>
        <v>1733.4</v>
      </c>
      <c r="Q31" s="29">
        <f t="shared" si="1"/>
        <v>0.98544627629334858</v>
      </c>
      <c r="R31" s="29">
        <f t="shared" si="2"/>
        <v>0.98544627629334858</v>
      </c>
      <c r="S31" s="29">
        <f t="shared" si="3"/>
        <v>0.98544627629334858</v>
      </c>
    </row>
    <row r="32" spans="1:229" x14ac:dyDescent="0.25">
      <c r="A32" s="17" t="s">
        <v>64</v>
      </c>
      <c r="B32" s="32" t="s">
        <v>65</v>
      </c>
      <c r="C32" s="19">
        <v>1425</v>
      </c>
      <c r="D32" s="20">
        <v>0</v>
      </c>
      <c r="E32" s="21">
        <f t="shared" si="17"/>
        <v>1425</v>
      </c>
      <c r="F32" s="22">
        <f>-200-700-200</f>
        <v>-1100</v>
      </c>
      <c r="G32" s="23">
        <f t="shared" si="13"/>
        <v>325</v>
      </c>
      <c r="H32" s="24">
        <f>1225-700-200</f>
        <v>325</v>
      </c>
      <c r="I32" s="25">
        <v>0</v>
      </c>
      <c r="J32" s="22">
        <f>64.2</f>
        <v>64.2</v>
      </c>
      <c r="K32" s="22">
        <f>64.2</f>
        <v>64.2</v>
      </c>
      <c r="L32" s="26">
        <f t="shared" si="18"/>
        <v>260.8</v>
      </c>
      <c r="M32" s="26">
        <f t="shared" si="14"/>
        <v>0</v>
      </c>
      <c r="N32" s="26">
        <f t="shared" si="15"/>
        <v>260.8</v>
      </c>
      <c r="O32" s="30">
        <v>0</v>
      </c>
      <c r="P32" s="28">
        <f t="shared" si="16"/>
        <v>64.2</v>
      </c>
      <c r="Q32" s="29">
        <f t="shared" si="1"/>
        <v>0.19753846153846155</v>
      </c>
      <c r="R32" s="29">
        <f t="shared" si="2"/>
        <v>0.19753846153846155</v>
      </c>
      <c r="S32" s="29">
        <f t="shared" si="3"/>
        <v>0.19753846153846155</v>
      </c>
    </row>
    <row r="33" spans="1:229" x14ac:dyDescent="0.25">
      <c r="A33" s="17">
        <v>131</v>
      </c>
      <c r="B33" s="32" t="s">
        <v>66</v>
      </c>
      <c r="C33" s="31">
        <v>0</v>
      </c>
      <c r="D33" s="20">
        <v>0</v>
      </c>
      <c r="E33" s="21">
        <f t="shared" si="17"/>
        <v>0</v>
      </c>
      <c r="F33" s="23"/>
      <c r="G33" s="23">
        <f t="shared" si="13"/>
        <v>0</v>
      </c>
      <c r="H33" s="39">
        <v>0</v>
      </c>
      <c r="I33" s="25">
        <v>0</v>
      </c>
      <c r="J33" s="22">
        <v>0</v>
      </c>
      <c r="K33" s="22">
        <v>0</v>
      </c>
      <c r="L33" s="26">
        <f t="shared" si="18"/>
        <v>0</v>
      </c>
      <c r="M33" s="26">
        <f t="shared" si="14"/>
        <v>0</v>
      </c>
      <c r="N33" s="26">
        <f t="shared" si="15"/>
        <v>0</v>
      </c>
      <c r="O33" s="30">
        <v>0</v>
      </c>
      <c r="P33" s="28">
        <f t="shared" si="16"/>
        <v>0</v>
      </c>
      <c r="Q33" s="29">
        <v>0</v>
      </c>
      <c r="R33" s="29">
        <v>0</v>
      </c>
      <c r="S33" s="29">
        <v>0</v>
      </c>
    </row>
    <row r="34" spans="1:229" x14ac:dyDescent="0.25">
      <c r="A34" s="17" t="s">
        <v>67</v>
      </c>
      <c r="B34" s="18" t="s">
        <v>68</v>
      </c>
      <c r="C34" s="19">
        <v>5000</v>
      </c>
      <c r="D34" s="20">
        <v>0</v>
      </c>
      <c r="E34" s="21">
        <f t="shared" si="17"/>
        <v>5000</v>
      </c>
      <c r="F34" s="22">
        <f>37500-12-9095</f>
        <v>28393</v>
      </c>
      <c r="G34" s="23">
        <f t="shared" si="13"/>
        <v>33393</v>
      </c>
      <c r="H34" s="24">
        <f>42500-12-9095</f>
        <v>33393</v>
      </c>
      <c r="I34" s="25">
        <v>0</v>
      </c>
      <c r="J34" s="22">
        <f>12754.93</f>
        <v>12754.93</v>
      </c>
      <c r="K34" s="22">
        <f>42488-9095</f>
        <v>33393</v>
      </c>
      <c r="L34" s="26">
        <f t="shared" si="18"/>
        <v>0</v>
      </c>
      <c r="M34" s="26">
        <f t="shared" si="14"/>
        <v>0</v>
      </c>
      <c r="N34" s="26">
        <f t="shared" si="15"/>
        <v>0</v>
      </c>
      <c r="O34" s="30">
        <v>0</v>
      </c>
      <c r="P34" s="28">
        <f t="shared" si="16"/>
        <v>33393</v>
      </c>
      <c r="Q34" s="29">
        <f>SUM(K34/H34*1)</f>
        <v>1</v>
      </c>
      <c r="R34" s="29">
        <f>SUM(J34/G34*1)</f>
        <v>0.38196418411044231</v>
      </c>
      <c r="S34" s="29">
        <f>SUM(K34/G34*1)</f>
        <v>1</v>
      </c>
    </row>
    <row r="35" spans="1:229" x14ac:dyDescent="0.25">
      <c r="A35" s="17">
        <v>141</v>
      </c>
      <c r="B35" s="18" t="s">
        <v>69</v>
      </c>
      <c r="C35" s="19">
        <v>1623</v>
      </c>
      <c r="D35" s="20">
        <v>0</v>
      </c>
      <c r="E35" s="21">
        <f t="shared" si="17"/>
        <v>1623</v>
      </c>
      <c r="F35" s="22">
        <f>2350+2000</f>
        <v>4350</v>
      </c>
      <c r="G35" s="23">
        <f t="shared" si="13"/>
        <v>5973</v>
      </c>
      <c r="H35" s="24">
        <f>1623+2350+2000</f>
        <v>5973</v>
      </c>
      <c r="I35" s="25">
        <v>0</v>
      </c>
      <c r="J35" s="22">
        <f>718+346+3130</f>
        <v>4194</v>
      </c>
      <c r="K35" s="22">
        <f>718+346+3281</f>
        <v>4345</v>
      </c>
      <c r="L35" s="26">
        <f t="shared" si="18"/>
        <v>1628</v>
      </c>
      <c r="M35" s="26">
        <f t="shared" si="14"/>
        <v>0</v>
      </c>
      <c r="N35" s="26">
        <f t="shared" si="15"/>
        <v>1628</v>
      </c>
      <c r="O35" s="30">
        <f>62+992+2564</f>
        <v>3618</v>
      </c>
      <c r="P35" s="28">
        <f t="shared" si="16"/>
        <v>727</v>
      </c>
      <c r="Q35" s="29">
        <f>SUM(K35/H35*1)</f>
        <v>0.72744014732965012</v>
      </c>
      <c r="R35" s="29">
        <f>SUM(J35/G35*1)</f>
        <v>0.70215971873430438</v>
      </c>
      <c r="S35" s="29">
        <f>SUM(K35/G35*1)</f>
        <v>0.72744014732965012</v>
      </c>
    </row>
    <row r="36" spans="1:229" s="40" customFormat="1" ht="15.75" x14ac:dyDescent="0.25">
      <c r="A36" s="17" t="s">
        <v>70</v>
      </c>
      <c r="B36" s="18" t="s">
        <v>71</v>
      </c>
      <c r="C36" s="19">
        <v>1000</v>
      </c>
      <c r="D36" s="20">
        <v>0</v>
      </c>
      <c r="E36" s="21">
        <f t="shared" si="17"/>
        <v>1000</v>
      </c>
      <c r="F36" s="22">
        <f>2000+3200</f>
        <v>5200</v>
      </c>
      <c r="G36" s="23">
        <f t="shared" si="13"/>
        <v>6200</v>
      </c>
      <c r="H36" s="39">
        <f>2500+3700</f>
        <v>6200</v>
      </c>
      <c r="I36" s="25">
        <v>0</v>
      </c>
      <c r="J36" s="22">
        <f>2100+3600</f>
        <v>5700</v>
      </c>
      <c r="K36" s="22">
        <f>21000-18900+3600</f>
        <v>5700</v>
      </c>
      <c r="L36" s="26">
        <f t="shared" si="18"/>
        <v>500</v>
      </c>
      <c r="M36" s="26">
        <f t="shared" si="14"/>
        <v>0</v>
      </c>
      <c r="N36" s="26">
        <f t="shared" si="15"/>
        <v>500</v>
      </c>
      <c r="O36" s="30">
        <f>2100+3600</f>
        <v>5700</v>
      </c>
      <c r="P36" s="28">
        <f t="shared" si="16"/>
        <v>0</v>
      </c>
      <c r="Q36" s="29">
        <f>SUM(K36/H36*1)</f>
        <v>0.91935483870967738</v>
      </c>
      <c r="R36" s="29">
        <f>SUM(J36/G36*1)</f>
        <v>0.91935483870967738</v>
      </c>
      <c r="S36" s="29">
        <f>SUM(K36/G36*1)</f>
        <v>0.91935483870967738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</row>
    <row r="37" spans="1:229" s="40" customFormat="1" ht="15.75" x14ac:dyDescent="0.25">
      <c r="A37" s="17">
        <v>143</v>
      </c>
      <c r="B37" s="18" t="s">
        <v>72</v>
      </c>
      <c r="C37" s="19"/>
      <c r="D37" s="20"/>
      <c r="E37" s="21">
        <f t="shared" si="17"/>
        <v>0</v>
      </c>
      <c r="F37" s="22"/>
      <c r="G37" s="23"/>
      <c r="H37" s="39"/>
      <c r="I37" s="25"/>
      <c r="J37" s="22">
        <f>0</f>
        <v>0</v>
      </c>
      <c r="K37" s="22">
        <f>0</f>
        <v>0</v>
      </c>
      <c r="L37" s="26">
        <f t="shared" si="18"/>
        <v>0</v>
      </c>
      <c r="M37" s="26">
        <f t="shared" si="14"/>
        <v>0</v>
      </c>
      <c r="N37" s="26">
        <f t="shared" si="15"/>
        <v>0</v>
      </c>
      <c r="O37" s="30">
        <v>0</v>
      </c>
      <c r="P37" s="28">
        <v>0</v>
      </c>
      <c r="Q37" s="29">
        <v>0</v>
      </c>
      <c r="R37" s="29">
        <v>0</v>
      </c>
      <c r="S37" s="29"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</row>
    <row r="38" spans="1:229" s="40" customFormat="1" ht="15.75" x14ac:dyDescent="0.25">
      <c r="A38" s="17" t="s">
        <v>73</v>
      </c>
      <c r="B38" s="18" t="s">
        <v>74</v>
      </c>
      <c r="C38" s="19">
        <v>3000</v>
      </c>
      <c r="D38" s="20">
        <v>0</v>
      </c>
      <c r="E38" s="21">
        <f t="shared" si="17"/>
        <v>3000</v>
      </c>
      <c r="F38" s="22">
        <f>-1700+500</f>
        <v>-1200</v>
      </c>
      <c r="G38" s="23">
        <f t="shared" ref="G38:G54" si="19">SUM(E38+F38)</f>
        <v>1800</v>
      </c>
      <c r="H38" s="24">
        <f>3000-1700+500</f>
        <v>1800</v>
      </c>
      <c r="I38" s="25">
        <v>0</v>
      </c>
      <c r="J38" s="22">
        <f>50+400+600</f>
        <v>1050</v>
      </c>
      <c r="K38" s="22">
        <f>50+400+890</f>
        <v>1340</v>
      </c>
      <c r="L38" s="26">
        <f t="shared" si="18"/>
        <v>460</v>
      </c>
      <c r="M38" s="26">
        <f t="shared" si="14"/>
        <v>0</v>
      </c>
      <c r="N38" s="26">
        <f t="shared" si="15"/>
        <v>460</v>
      </c>
      <c r="O38" s="30">
        <f>130+580</f>
        <v>710</v>
      </c>
      <c r="P38" s="28">
        <f t="shared" ref="P38:P54" si="20">K38-O38</f>
        <v>630</v>
      </c>
      <c r="Q38" s="29">
        <f>SUM(K38/H38*1)</f>
        <v>0.74444444444444446</v>
      </c>
      <c r="R38" s="29">
        <f>SUM(J38/G38*1)</f>
        <v>0.58333333333333337</v>
      </c>
      <c r="S38" s="29">
        <f>SUM(K38/G38*1)</f>
        <v>0.74444444444444446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</row>
    <row r="39" spans="1:229" s="40" customFormat="1" ht="15.75" x14ac:dyDescent="0.25">
      <c r="A39" s="17">
        <v>152</v>
      </c>
      <c r="B39" s="18" t="s">
        <v>75</v>
      </c>
      <c r="C39" s="19">
        <v>1050</v>
      </c>
      <c r="D39" s="20">
        <v>0</v>
      </c>
      <c r="E39" s="21">
        <f t="shared" si="17"/>
        <v>1050</v>
      </c>
      <c r="F39" s="22">
        <f>2500+2178</f>
        <v>4678</v>
      </c>
      <c r="G39" s="23">
        <f t="shared" si="19"/>
        <v>5728</v>
      </c>
      <c r="H39" s="39">
        <f>3000+2728</f>
        <v>5728</v>
      </c>
      <c r="I39" s="25">
        <v>0</v>
      </c>
      <c r="J39" s="22">
        <f>1523.88+3644.5</f>
        <v>5168.38</v>
      </c>
      <c r="K39" s="22">
        <f>1523.88+3644.5</f>
        <v>5168.38</v>
      </c>
      <c r="L39" s="26">
        <f t="shared" si="18"/>
        <v>559.61999999999989</v>
      </c>
      <c r="M39" s="26">
        <f t="shared" si="14"/>
        <v>0</v>
      </c>
      <c r="N39" s="26">
        <f t="shared" si="15"/>
        <v>559.61999999999989</v>
      </c>
      <c r="O39" s="30">
        <f>1523.88</f>
        <v>1523.88</v>
      </c>
      <c r="P39" s="28">
        <f t="shared" si="20"/>
        <v>3644.5</v>
      </c>
      <c r="Q39" s="29">
        <f>SUM(K39/H39*1)</f>
        <v>0.90230097765363126</v>
      </c>
      <c r="R39" s="29">
        <f>SUM(J39/G39*1)</f>
        <v>0.90230097765363126</v>
      </c>
      <c r="S39" s="29">
        <f>SUM(K39/G39*1)</f>
        <v>0.90230097765363126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</row>
    <row r="40" spans="1:229" s="40" customFormat="1" ht="15.75" x14ac:dyDescent="0.25">
      <c r="A40" s="17">
        <v>153</v>
      </c>
      <c r="B40" s="18" t="s">
        <v>76</v>
      </c>
      <c r="C40" s="31">
        <v>0</v>
      </c>
      <c r="D40" s="20">
        <v>0</v>
      </c>
      <c r="E40" s="21">
        <f t="shared" si="17"/>
        <v>0</v>
      </c>
      <c r="F40" s="23"/>
      <c r="G40" s="23">
        <f t="shared" si="19"/>
        <v>0</v>
      </c>
      <c r="H40" s="39">
        <v>0</v>
      </c>
      <c r="I40" s="25">
        <v>0</v>
      </c>
      <c r="J40" s="22">
        <v>0</v>
      </c>
      <c r="K40" s="22">
        <f>0</f>
        <v>0</v>
      </c>
      <c r="L40" s="26">
        <f t="shared" si="18"/>
        <v>0</v>
      </c>
      <c r="M40" s="26">
        <f t="shared" si="14"/>
        <v>0</v>
      </c>
      <c r="N40" s="26">
        <f t="shared" si="15"/>
        <v>0</v>
      </c>
      <c r="O40" s="30">
        <v>0</v>
      </c>
      <c r="P40" s="28">
        <f t="shared" si="20"/>
        <v>0</v>
      </c>
      <c r="Q40" s="29">
        <v>0</v>
      </c>
      <c r="R40" s="29">
        <v>0</v>
      </c>
      <c r="S40" s="29"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</row>
    <row r="41" spans="1:229" s="40" customFormat="1" ht="15.75" x14ac:dyDescent="0.25">
      <c r="A41" s="17">
        <v>154</v>
      </c>
      <c r="B41" s="18" t="s">
        <v>77</v>
      </c>
      <c r="C41" s="31">
        <v>0</v>
      </c>
      <c r="D41" s="20">
        <v>0</v>
      </c>
      <c r="E41" s="21">
        <f t="shared" si="17"/>
        <v>0</v>
      </c>
      <c r="F41" s="23">
        <f>200-50</f>
        <v>150</v>
      </c>
      <c r="G41" s="23">
        <f t="shared" si="19"/>
        <v>150</v>
      </c>
      <c r="H41" s="39">
        <f>200-50</f>
        <v>150</v>
      </c>
      <c r="I41" s="25">
        <v>0</v>
      </c>
      <c r="J41" s="22">
        <f>17.5+21</f>
        <v>38.5</v>
      </c>
      <c r="K41" s="22">
        <f>7+10.5+21</f>
        <v>38.5</v>
      </c>
      <c r="L41" s="26">
        <f t="shared" si="18"/>
        <v>111.5</v>
      </c>
      <c r="M41" s="26">
        <f t="shared" si="14"/>
        <v>0</v>
      </c>
      <c r="N41" s="26">
        <f t="shared" si="15"/>
        <v>111.5</v>
      </c>
      <c r="O41" s="30">
        <f>11+6.5</f>
        <v>17.5</v>
      </c>
      <c r="P41" s="28">
        <f t="shared" si="20"/>
        <v>21</v>
      </c>
      <c r="Q41" s="29">
        <f t="shared" ref="Q41:Q48" si="21">SUM(K41/H41*1)</f>
        <v>0.25666666666666665</v>
      </c>
      <c r="R41" s="29">
        <f t="shared" ref="R41:R49" si="22">SUM(J41/G41*1)</f>
        <v>0.25666666666666665</v>
      </c>
      <c r="S41" s="29">
        <f t="shared" ref="S41:S49" si="23">SUM(K41/G41*1)</f>
        <v>0.25666666666666665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</row>
    <row r="42" spans="1:229" s="40" customFormat="1" ht="15.75" x14ac:dyDescent="0.25">
      <c r="A42" s="17" t="s">
        <v>78</v>
      </c>
      <c r="B42" s="18" t="s">
        <v>79</v>
      </c>
      <c r="C42" s="19">
        <v>9000</v>
      </c>
      <c r="D42" s="20">
        <v>0</v>
      </c>
      <c r="E42" s="21">
        <f t="shared" si="17"/>
        <v>9000</v>
      </c>
      <c r="F42" s="22">
        <v>0</v>
      </c>
      <c r="G42" s="23">
        <f t="shared" si="19"/>
        <v>9000</v>
      </c>
      <c r="H42" s="39">
        <f>5000+4000</f>
        <v>9000</v>
      </c>
      <c r="I42" s="25">
        <v>0</v>
      </c>
      <c r="J42" s="22">
        <v>0</v>
      </c>
      <c r="K42" s="22">
        <f>4500+1323.7</f>
        <v>5823.7</v>
      </c>
      <c r="L42" s="26">
        <f t="shared" si="18"/>
        <v>3176.3</v>
      </c>
      <c r="M42" s="26">
        <f t="shared" si="14"/>
        <v>0</v>
      </c>
      <c r="N42" s="26">
        <f t="shared" si="15"/>
        <v>3176.3</v>
      </c>
      <c r="O42" s="30">
        <v>0</v>
      </c>
      <c r="P42" s="28">
        <f t="shared" si="20"/>
        <v>5823.7</v>
      </c>
      <c r="Q42" s="29">
        <f t="shared" si="21"/>
        <v>0.64707777777777775</v>
      </c>
      <c r="R42" s="29">
        <f t="shared" si="22"/>
        <v>0</v>
      </c>
      <c r="S42" s="29">
        <f t="shared" si="23"/>
        <v>0.64707777777777775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</row>
    <row r="43" spans="1:229" s="40" customFormat="1" ht="15.75" x14ac:dyDescent="0.25">
      <c r="A43" s="17">
        <v>165</v>
      </c>
      <c r="B43" s="18" t="s">
        <v>80</v>
      </c>
      <c r="C43" s="19">
        <v>12600</v>
      </c>
      <c r="D43" s="20">
        <v>0</v>
      </c>
      <c r="E43" s="21">
        <f t="shared" si="17"/>
        <v>12600</v>
      </c>
      <c r="F43" s="22">
        <f>9600-19200+13700</f>
        <v>4100</v>
      </c>
      <c r="G43" s="23">
        <f t="shared" si="19"/>
        <v>16700</v>
      </c>
      <c r="H43" s="39">
        <f>5000-2000+13700</f>
        <v>16700</v>
      </c>
      <c r="I43" s="25">
        <v>0</v>
      </c>
      <c r="J43" s="22">
        <f>6124.2</f>
        <v>6124.2</v>
      </c>
      <c r="K43" s="22">
        <f>13854.7</f>
        <v>13854.7</v>
      </c>
      <c r="L43" s="26">
        <f t="shared" si="18"/>
        <v>2845.2999999999993</v>
      </c>
      <c r="M43" s="26">
        <f t="shared" si="14"/>
        <v>0</v>
      </c>
      <c r="N43" s="26">
        <f t="shared" si="15"/>
        <v>2845.2999999999993</v>
      </c>
      <c r="O43" s="30">
        <v>0</v>
      </c>
      <c r="P43" s="28">
        <f t="shared" si="20"/>
        <v>13854.7</v>
      </c>
      <c r="Q43" s="29">
        <f t="shared" si="21"/>
        <v>0.82962275449101797</v>
      </c>
      <c r="R43" s="29">
        <f t="shared" si="22"/>
        <v>0.36671856287425147</v>
      </c>
      <c r="S43" s="29">
        <f t="shared" si="23"/>
        <v>0.82962275449101797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</row>
    <row r="44" spans="1:229" s="40" customFormat="1" ht="15.75" x14ac:dyDescent="0.25">
      <c r="A44" s="17" t="s">
        <v>81</v>
      </c>
      <c r="B44" s="18" t="s">
        <v>82</v>
      </c>
      <c r="C44" s="19">
        <v>6400</v>
      </c>
      <c r="D44" s="20">
        <v>0</v>
      </c>
      <c r="E44" s="21">
        <f t="shared" si="17"/>
        <v>6400</v>
      </c>
      <c r="F44" s="22">
        <f>16796+20987+5515</f>
        <v>43298</v>
      </c>
      <c r="G44" s="23">
        <f t="shared" si="19"/>
        <v>49698</v>
      </c>
      <c r="H44" s="39">
        <f>21796+22387+5515</f>
        <v>49698</v>
      </c>
      <c r="I44" s="25">
        <v>0</v>
      </c>
      <c r="J44" s="22">
        <f>7175.1+16538.66+3067.7</f>
        <v>26781.460000000003</v>
      </c>
      <c r="K44" s="22">
        <f>7175.1+27338.66+14997.7</f>
        <v>49511.460000000006</v>
      </c>
      <c r="L44" s="26">
        <f t="shared" si="18"/>
        <v>186.5399999999936</v>
      </c>
      <c r="M44" s="26">
        <f t="shared" si="14"/>
        <v>0</v>
      </c>
      <c r="N44" s="26">
        <f t="shared" si="15"/>
        <v>186.5399999999936</v>
      </c>
      <c r="O44" s="30">
        <f>2500.85+4929.26</f>
        <v>7430.1100000000006</v>
      </c>
      <c r="P44" s="28">
        <f t="shared" si="20"/>
        <v>42081.350000000006</v>
      </c>
      <c r="Q44" s="29">
        <f t="shared" si="21"/>
        <v>0.99624652903537381</v>
      </c>
      <c r="R44" s="29">
        <f t="shared" si="22"/>
        <v>0.53888405972071318</v>
      </c>
      <c r="S44" s="29">
        <f t="shared" si="23"/>
        <v>0.99624652903537381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</row>
    <row r="45" spans="1:229" s="40" customFormat="1" ht="15.75" x14ac:dyDescent="0.25">
      <c r="A45" s="17">
        <v>171</v>
      </c>
      <c r="B45" s="18" t="s">
        <v>83</v>
      </c>
      <c r="C45" s="19">
        <v>100000</v>
      </c>
      <c r="D45" s="20">
        <v>0</v>
      </c>
      <c r="E45" s="21">
        <f t="shared" si="17"/>
        <v>100000</v>
      </c>
      <c r="F45" s="22">
        <f>-9528-43156-33313</f>
        <v>-85997</v>
      </c>
      <c r="G45" s="23">
        <f t="shared" si="19"/>
        <v>14003</v>
      </c>
      <c r="H45" s="39">
        <f>10472+36844-33313</f>
        <v>14003</v>
      </c>
      <c r="I45" s="25">
        <v>0</v>
      </c>
      <c r="J45" s="22">
        <v>0</v>
      </c>
      <c r="K45" s="22">
        <f>14000</f>
        <v>14000</v>
      </c>
      <c r="L45" s="26">
        <f t="shared" si="18"/>
        <v>3</v>
      </c>
      <c r="M45" s="26">
        <f t="shared" si="14"/>
        <v>0</v>
      </c>
      <c r="N45" s="26">
        <f t="shared" si="15"/>
        <v>3</v>
      </c>
      <c r="O45" s="30">
        <v>0</v>
      </c>
      <c r="P45" s="28">
        <f t="shared" si="20"/>
        <v>14000</v>
      </c>
      <c r="Q45" s="29">
        <f t="shared" si="21"/>
        <v>0.99978576019424414</v>
      </c>
      <c r="R45" s="29">
        <f t="shared" si="22"/>
        <v>0</v>
      </c>
      <c r="S45" s="29">
        <f t="shared" si="23"/>
        <v>0.99978576019424414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</row>
    <row r="46" spans="1:229" s="40" customFormat="1" ht="15.75" x14ac:dyDescent="0.25">
      <c r="A46" s="17" t="s">
        <v>84</v>
      </c>
      <c r="B46" s="18" t="s">
        <v>85</v>
      </c>
      <c r="C46" s="19">
        <v>36000</v>
      </c>
      <c r="D46" s="20">
        <v>0</v>
      </c>
      <c r="E46" s="21">
        <f t="shared" si="17"/>
        <v>36000</v>
      </c>
      <c r="F46" s="22">
        <v>0</v>
      </c>
      <c r="G46" s="23">
        <f t="shared" si="19"/>
        <v>36000</v>
      </c>
      <c r="H46" s="24">
        <v>36000</v>
      </c>
      <c r="I46" s="25">
        <v>0</v>
      </c>
      <c r="J46" s="22">
        <f>36000</f>
        <v>36000</v>
      </c>
      <c r="K46" s="22">
        <v>36000</v>
      </c>
      <c r="L46" s="26">
        <f t="shared" si="18"/>
        <v>0</v>
      </c>
      <c r="M46" s="26">
        <f t="shared" si="14"/>
        <v>0</v>
      </c>
      <c r="N46" s="26">
        <f t="shared" si="15"/>
        <v>0</v>
      </c>
      <c r="O46" s="30">
        <f>9000</f>
        <v>9000</v>
      </c>
      <c r="P46" s="28">
        <f t="shared" si="20"/>
        <v>27000</v>
      </c>
      <c r="Q46" s="29">
        <f t="shared" si="21"/>
        <v>1</v>
      </c>
      <c r="R46" s="29">
        <f t="shared" si="22"/>
        <v>1</v>
      </c>
      <c r="S46" s="29">
        <f t="shared" si="23"/>
        <v>1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</row>
    <row r="47" spans="1:229" s="40" customFormat="1" ht="15.75" x14ac:dyDescent="0.25">
      <c r="A47" s="17" t="s">
        <v>86</v>
      </c>
      <c r="B47" s="18" t="s">
        <v>87</v>
      </c>
      <c r="C47" s="19">
        <v>2500</v>
      </c>
      <c r="D47" s="20">
        <v>0</v>
      </c>
      <c r="E47" s="21">
        <f t="shared" si="17"/>
        <v>2500</v>
      </c>
      <c r="F47" s="22">
        <f>-1700-100-100</f>
        <v>-1900</v>
      </c>
      <c r="G47" s="23">
        <f t="shared" si="19"/>
        <v>600</v>
      </c>
      <c r="H47" s="39">
        <f>300-100+400</f>
        <v>600</v>
      </c>
      <c r="I47" s="25">
        <v>0</v>
      </c>
      <c r="J47" s="22">
        <v>0</v>
      </c>
      <c r="K47" s="22">
        <v>0</v>
      </c>
      <c r="L47" s="26">
        <f t="shared" si="18"/>
        <v>600</v>
      </c>
      <c r="M47" s="26">
        <f t="shared" si="14"/>
        <v>0</v>
      </c>
      <c r="N47" s="26">
        <f t="shared" si="15"/>
        <v>600</v>
      </c>
      <c r="O47" s="30">
        <v>0</v>
      </c>
      <c r="P47" s="28">
        <f t="shared" si="20"/>
        <v>0</v>
      </c>
      <c r="Q47" s="29">
        <f t="shared" si="21"/>
        <v>0</v>
      </c>
      <c r="R47" s="29">
        <f t="shared" si="22"/>
        <v>0</v>
      </c>
      <c r="S47" s="29">
        <f t="shared" si="23"/>
        <v>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</row>
    <row r="48" spans="1:229" s="40" customFormat="1" ht="15.75" x14ac:dyDescent="0.25">
      <c r="A48" s="17" t="s">
        <v>88</v>
      </c>
      <c r="B48" s="18" t="s">
        <v>89</v>
      </c>
      <c r="C48" s="19">
        <v>2500</v>
      </c>
      <c r="D48" s="20">
        <v>0</v>
      </c>
      <c r="E48" s="21">
        <f t="shared" si="17"/>
        <v>2500</v>
      </c>
      <c r="F48" s="22">
        <f>-1450+100-150</f>
        <v>-1500</v>
      </c>
      <c r="G48" s="23">
        <f t="shared" si="19"/>
        <v>1000</v>
      </c>
      <c r="H48" s="39">
        <f>550+100+350</f>
        <v>1000</v>
      </c>
      <c r="I48" s="25">
        <v>0</v>
      </c>
      <c r="J48" s="22">
        <f>12.45+113+85.59</f>
        <v>211.04000000000002</v>
      </c>
      <c r="K48" s="22">
        <f>125.45+213.99</f>
        <v>339.44</v>
      </c>
      <c r="L48" s="26">
        <f t="shared" si="18"/>
        <v>660.56</v>
      </c>
      <c r="M48" s="26">
        <f t="shared" si="14"/>
        <v>0</v>
      </c>
      <c r="N48" s="26">
        <f t="shared" si="15"/>
        <v>660.56</v>
      </c>
      <c r="O48" s="30">
        <f>50.55</f>
        <v>50.55</v>
      </c>
      <c r="P48" s="28">
        <f t="shared" si="20"/>
        <v>288.89</v>
      </c>
      <c r="Q48" s="29">
        <f t="shared" si="21"/>
        <v>0.33944000000000002</v>
      </c>
      <c r="R48" s="29">
        <f t="shared" si="22"/>
        <v>0.21104000000000003</v>
      </c>
      <c r="S48" s="29">
        <f t="shared" si="23"/>
        <v>0.33944000000000002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</row>
    <row r="49" spans="1:229" s="40" customFormat="1" ht="15.75" x14ac:dyDescent="0.25">
      <c r="A49" s="17">
        <v>185</v>
      </c>
      <c r="B49" s="18" t="s">
        <v>90</v>
      </c>
      <c r="C49" s="19">
        <v>1176</v>
      </c>
      <c r="D49" s="20">
        <v>0</v>
      </c>
      <c r="E49" s="21">
        <f t="shared" si="17"/>
        <v>1176</v>
      </c>
      <c r="F49" s="22">
        <f>-500+10280</f>
        <v>9780</v>
      </c>
      <c r="G49" s="23">
        <f t="shared" si="19"/>
        <v>10956</v>
      </c>
      <c r="H49" s="39">
        <f>10956</f>
        <v>10956</v>
      </c>
      <c r="I49" s="25">
        <v>0</v>
      </c>
      <c r="J49" s="22">
        <f>330.44</f>
        <v>330.44</v>
      </c>
      <c r="K49" s="22">
        <f>10174.44</f>
        <v>10174.44</v>
      </c>
      <c r="L49" s="26">
        <f t="shared" si="18"/>
        <v>781.55999999999949</v>
      </c>
      <c r="M49" s="26">
        <f t="shared" si="14"/>
        <v>0</v>
      </c>
      <c r="N49" s="26">
        <f t="shared" si="15"/>
        <v>781.55999999999949</v>
      </c>
      <c r="O49" s="30">
        <v>0</v>
      </c>
      <c r="P49" s="28">
        <f t="shared" si="20"/>
        <v>10174.44</v>
      </c>
      <c r="Q49" s="29">
        <v>0</v>
      </c>
      <c r="R49" s="29">
        <f t="shared" si="22"/>
        <v>3.0160642570281126E-2</v>
      </c>
      <c r="S49" s="29">
        <f t="shared" si="23"/>
        <v>0.92866374589266165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</row>
    <row r="50" spans="1:229" x14ac:dyDescent="0.25">
      <c r="A50" s="17">
        <v>192</v>
      </c>
      <c r="B50" s="18" t="s">
        <v>91</v>
      </c>
      <c r="C50" s="31">
        <v>0</v>
      </c>
      <c r="D50" s="20">
        <v>0</v>
      </c>
      <c r="E50" s="21">
        <f t="shared" si="17"/>
        <v>0</v>
      </c>
      <c r="F50" s="23"/>
      <c r="G50" s="23">
        <f t="shared" si="19"/>
        <v>0</v>
      </c>
      <c r="H50" s="39">
        <v>0</v>
      </c>
      <c r="I50" s="25">
        <v>0</v>
      </c>
      <c r="J50" s="22">
        <v>0</v>
      </c>
      <c r="K50" s="22">
        <v>0</v>
      </c>
      <c r="L50" s="26">
        <f t="shared" si="18"/>
        <v>0</v>
      </c>
      <c r="M50" s="26">
        <f t="shared" si="14"/>
        <v>0</v>
      </c>
      <c r="N50" s="26">
        <f t="shared" si="15"/>
        <v>0</v>
      </c>
      <c r="O50" s="30">
        <v>0</v>
      </c>
      <c r="P50" s="28">
        <f t="shared" si="20"/>
        <v>0</v>
      </c>
      <c r="Q50" s="29">
        <v>0</v>
      </c>
      <c r="R50" s="29">
        <v>0</v>
      </c>
      <c r="S50" s="29">
        <v>0</v>
      </c>
    </row>
    <row r="51" spans="1:229" x14ac:dyDescent="0.25">
      <c r="A51" s="17">
        <v>195</v>
      </c>
      <c r="B51" s="18" t="s">
        <v>92</v>
      </c>
      <c r="C51" s="31">
        <v>0</v>
      </c>
      <c r="D51" s="20">
        <v>0</v>
      </c>
      <c r="E51" s="21">
        <f t="shared" si="17"/>
        <v>0</v>
      </c>
      <c r="F51" s="23">
        <v>589</v>
      </c>
      <c r="G51" s="23">
        <f t="shared" si="19"/>
        <v>589</v>
      </c>
      <c r="H51" s="39">
        <f>589</f>
        <v>589</v>
      </c>
      <c r="I51" s="25">
        <v>0</v>
      </c>
      <c r="J51" s="22">
        <f>589</f>
        <v>589</v>
      </c>
      <c r="K51" s="22">
        <f>589</f>
        <v>589</v>
      </c>
      <c r="L51" s="26">
        <f t="shared" si="18"/>
        <v>0</v>
      </c>
      <c r="M51" s="26">
        <f t="shared" si="14"/>
        <v>0</v>
      </c>
      <c r="N51" s="26">
        <f t="shared" si="15"/>
        <v>0</v>
      </c>
      <c r="O51" s="30">
        <f>589</f>
        <v>589</v>
      </c>
      <c r="P51" s="28">
        <f t="shared" si="20"/>
        <v>0</v>
      </c>
      <c r="Q51" s="29">
        <f>SUM(K51/H51*1)</f>
        <v>1</v>
      </c>
      <c r="R51" s="29">
        <f>SUM(J51/G51*1)</f>
        <v>1</v>
      </c>
      <c r="S51" s="29">
        <f>SUM(K51/G51*1)</f>
        <v>1</v>
      </c>
    </row>
    <row r="52" spans="1:229" x14ac:dyDescent="0.25">
      <c r="A52" s="17">
        <v>196</v>
      </c>
      <c r="B52" s="18" t="s">
        <v>93</v>
      </c>
      <c r="C52" s="31">
        <v>0</v>
      </c>
      <c r="D52" s="20">
        <v>0</v>
      </c>
      <c r="E52" s="21">
        <f t="shared" si="17"/>
        <v>0</v>
      </c>
      <c r="F52" s="23">
        <f>700-300</f>
        <v>400</v>
      </c>
      <c r="G52" s="23">
        <f t="shared" si="19"/>
        <v>400</v>
      </c>
      <c r="H52" s="39">
        <f>700-300</f>
        <v>400</v>
      </c>
      <c r="I52" s="25">
        <v>0</v>
      </c>
      <c r="J52" s="22">
        <f>399.5</f>
        <v>399.5</v>
      </c>
      <c r="K52" s="22">
        <f>399.5</f>
        <v>399.5</v>
      </c>
      <c r="L52" s="26">
        <f t="shared" si="18"/>
        <v>0.5</v>
      </c>
      <c r="M52" s="26">
        <f t="shared" si="14"/>
        <v>0</v>
      </c>
      <c r="N52" s="26">
        <f t="shared" si="15"/>
        <v>0.5</v>
      </c>
      <c r="O52" s="30">
        <f>399.5</f>
        <v>399.5</v>
      </c>
      <c r="P52" s="28">
        <f t="shared" si="20"/>
        <v>0</v>
      </c>
      <c r="Q52" s="29">
        <f>SUM(K52/H52*1)</f>
        <v>0.99875000000000003</v>
      </c>
      <c r="R52" s="29">
        <f>SUM(J52/G52*1)</f>
        <v>0.99875000000000003</v>
      </c>
      <c r="S52" s="29">
        <f>SUM(K52/G52*1)</f>
        <v>0.99875000000000003</v>
      </c>
    </row>
    <row r="53" spans="1:229" x14ac:dyDescent="0.25">
      <c r="A53" s="17">
        <v>197</v>
      </c>
      <c r="B53" s="18" t="s">
        <v>94</v>
      </c>
      <c r="C53" s="31">
        <v>0</v>
      </c>
      <c r="D53" s="20">
        <v>0</v>
      </c>
      <c r="E53" s="21">
        <f t="shared" si="17"/>
        <v>0</v>
      </c>
      <c r="F53" s="23">
        <f>2692-100</f>
        <v>2592</v>
      </c>
      <c r="G53" s="23">
        <f t="shared" si="19"/>
        <v>2592</v>
      </c>
      <c r="H53" s="39">
        <f>2692-100</f>
        <v>2592</v>
      </c>
      <c r="I53" s="25">
        <v>0</v>
      </c>
      <c r="J53" s="22">
        <f>2561.61</f>
        <v>2561.61</v>
      </c>
      <c r="K53" s="22">
        <f>2561.61</f>
        <v>2561.61</v>
      </c>
      <c r="L53" s="26">
        <f t="shared" si="18"/>
        <v>30.389999999999873</v>
      </c>
      <c r="M53" s="26">
        <f t="shared" si="14"/>
        <v>0</v>
      </c>
      <c r="N53" s="26">
        <f t="shared" si="15"/>
        <v>30.389999999999873</v>
      </c>
      <c r="O53" s="30">
        <f>37.19</f>
        <v>37.19</v>
      </c>
      <c r="P53" s="28">
        <f t="shared" si="20"/>
        <v>2524.42</v>
      </c>
      <c r="Q53" s="29">
        <f>SUM(K53/H53*1)</f>
        <v>0.98827546296296298</v>
      </c>
      <c r="R53" s="29">
        <f>SUM(J53/G53*1)</f>
        <v>0.98827546296296298</v>
      </c>
      <c r="S53" s="29">
        <f>SUM(K53/G53*1)</f>
        <v>0.98827546296296298</v>
      </c>
    </row>
    <row r="54" spans="1:229" x14ac:dyDescent="0.25">
      <c r="A54" s="17">
        <v>199</v>
      </c>
      <c r="B54" s="18" t="s">
        <v>95</v>
      </c>
      <c r="C54" s="31">
        <v>0</v>
      </c>
      <c r="D54" s="20">
        <v>0</v>
      </c>
      <c r="E54" s="21">
        <f t="shared" si="17"/>
        <v>0</v>
      </c>
      <c r="F54" s="23">
        <f>0</f>
        <v>0</v>
      </c>
      <c r="G54" s="23">
        <f t="shared" si="19"/>
        <v>0</v>
      </c>
      <c r="H54" s="39">
        <v>0</v>
      </c>
      <c r="I54" s="25">
        <v>0</v>
      </c>
      <c r="J54" s="22">
        <v>0</v>
      </c>
      <c r="K54" s="22">
        <v>0</v>
      </c>
      <c r="L54" s="26">
        <f t="shared" si="18"/>
        <v>0</v>
      </c>
      <c r="M54" s="26">
        <f t="shared" si="14"/>
        <v>0</v>
      </c>
      <c r="N54" s="26">
        <f t="shared" si="15"/>
        <v>0</v>
      </c>
      <c r="O54" s="30">
        <v>0</v>
      </c>
      <c r="P54" s="28">
        <f t="shared" si="20"/>
        <v>0</v>
      </c>
      <c r="Q54" s="29">
        <v>0</v>
      </c>
      <c r="R54" s="29">
        <v>0</v>
      </c>
      <c r="S54" s="29">
        <v>0</v>
      </c>
    </row>
    <row r="55" spans="1:229" s="2" customFormat="1" ht="12" x14ac:dyDescent="0.2">
      <c r="A55" s="33">
        <v>2</v>
      </c>
      <c r="B55" s="34" t="s">
        <v>96</v>
      </c>
      <c r="C55" s="35">
        <f>SUM(C56:C89)</f>
        <v>19912</v>
      </c>
      <c r="D55" s="36">
        <f>SUM(D57:D89)</f>
        <v>0</v>
      </c>
      <c r="E55" s="35">
        <f>SUM(E56:E89)</f>
        <v>19912</v>
      </c>
      <c r="F55" s="36">
        <f>SUM(F56:F89)</f>
        <v>28157</v>
      </c>
      <c r="G55" s="36">
        <f t="shared" ref="G55:P55" si="24">SUM(G56:G89)</f>
        <v>48069</v>
      </c>
      <c r="H55" s="36">
        <f t="shared" si="24"/>
        <v>48069</v>
      </c>
      <c r="I55" s="36">
        <f t="shared" si="24"/>
        <v>0</v>
      </c>
      <c r="J55" s="36">
        <f t="shared" si="24"/>
        <v>23578.160000000003</v>
      </c>
      <c r="K55" s="36">
        <f t="shared" si="24"/>
        <v>38609.129999999997</v>
      </c>
      <c r="L55" s="36">
        <f t="shared" si="24"/>
        <v>9459.59</v>
      </c>
      <c r="M55" s="36">
        <f t="shared" si="24"/>
        <v>0</v>
      </c>
      <c r="N55" s="36">
        <f t="shared" si="24"/>
        <v>9459.59</v>
      </c>
      <c r="O55" s="36">
        <f t="shared" si="24"/>
        <v>8306.26</v>
      </c>
      <c r="P55" s="36">
        <f t="shared" si="24"/>
        <v>30302.87</v>
      </c>
      <c r="Q55" s="4">
        <f>SUM(K55/H55*1)</f>
        <v>0.80320227173438175</v>
      </c>
      <c r="R55" s="4">
        <f>SUM(J55/G55*1)</f>
        <v>0.49050656348166183</v>
      </c>
      <c r="S55" s="4">
        <f>SUM(K55/G55*1)</f>
        <v>0.80320227173438175</v>
      </c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</row>
    <row r="56" spans="1:229" s="2" customFormat="1" x14ac:dyDescent="0.25">
      <c r="A56" s="17">
        <v>201</v>
      </c>
      <c r="B56" s="18" t="s">
        <v>97</v>
      </c>
      <c r="C56" s="19">
        <v>500</v>
      </c>
      <c r="D56" s="20">
        <v>0</v>
      </c>
      <c r="E56" s="21">
        <f>C56+D56</f>
        <v>500</v>
      </c>
      <c r="F56" s="22">
        <f>7000-500-450</f>
        <v>6050</v>
      </c>
      <c r="G56" s="23">
        <f t="shared" ref="G56:G105" si="25">SUM(E56+F56)</f>
        <v>6550</v>
      </c>
      <c r="H56" s="39">
        <f>7500-500-450</f>
        <v>6550</v>
      </c>
      <c r="I56" s="25">
        <v>0</v>
      </c>
      <c r="J56" s="22">
        <f>805.68+3424.6+506</f>
        <v>4736.28</v>
      </c>
      <c r="K56" s="22">
        <f>980.68+3249.6+506</f>
        <v>4736.28</v>
      </c>
      <c r="L56" s="26">
        <f t="shared" ref="L56:L87" si="26">SUM(H56-K56)</f>
        <v>1813.7200000000003</v>
      </c>
      <c r="M56" s="26">
        <f t="shared" ref="M56:M85" si="27">SUM(G56-H56)</f>
        <v>0</v>
      </c>
      <c r="N56" s="26">
        <f t="shared" ref="N56:N87" si="28">SUM(-I56+L56+M56)</f>
        <v>1813.7200000000003</v>
      </c>
      <c r="O56" s="30">
        <f>705.68+192</f>
        <v>897.68</v>
      </c>
      <c r="P56" s="28">
        <f t="shared" ref="P56:P89" si="29">K56-O56</f>
        <v>3838.6</v>
      </c>
      <c r="Q56" s="29">
        <f>SUM(K56/H56*1)</f>
        <v>0.7230961832061068</v>
      </c>
      <c r="R56" s="29">
        <f>SUM(J56/G56*1)</f>
        <v>0.7230961832061068</v>
      </c>
      <c r="S56" s="29">
        <f>SUM(K56/G56*1)</f>
        <v>0.7230961832061068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</row>
    <row r="57" spans="1:229" x14ac:dyDescent="0.25">
      <c r="A57" s="17" t="s">
        <v>98</v>
      </c>
      <c r="B57" s="18" t="s">
        <v>99</v>
      </c>
      <c r="C57" s="19">
        <v>200</v>
      </c>
      <c r="D57" s="20">
        <v>0</v>
      </c>
      <c r="E57" s="21">
        <f t="shared" ref="E57:E89" si="30">C57+D57</f>
        <v>200</v>
      </c>
      <c r="F57" s="22">
        <f>2576-600</f>
        <v>1976</v>
      </c>
      <c r="G57" s="23">
        <f t="shared" si="25"/>
        <v>2176</v>
      </c>
      <c r="H57" s="39">
        <f>2776-600</f>
        <v>2176</v>
      </c>
      <c r="I57" s="25">
        <v>0</v>
      </c>
      <c r="J57" s="22">
        <f>1645.92+383.56</f>
        <v>2029.48</v>
      </c>
      <c r="K57" s="22">
        <f>1675.92+353.56</f>
        <v>2029.48</v>
      </c>
      <c r="L57" s="26">
        <f t="shared" si="26"/>
        <v>146.51999999999998</v>
      </c>
      <c r="M57" s="26">
        <f t="shared" si="27"/>
        <v>0</v>
      </c>
      <c r="N57" s="26">
        <f t="shared" si="28"/>
        <v>146.51999999999998</v>
      </c>
      <c r="O57" s="30">
        <f>100.92</f>
        <v>100.92</v>
      </c>
      <c r="P57" s="28">
        <f t="shared" si="29"/>
        <v>1928.56</v>
      </c>
      <c r="Q57" s="29">
        <f>SUM(K57/H57*1)</f>
        <v>0.93266544117647054</v>
      </c>
      <c r="R57" s="29">
        <f>SUM(J57/G57*1)</f>
        <v>0.93266544117647054</v>
      </c>
      <c r="S57" s="29">
        <f>SUM(K57/G57*1)</f>
        <v>0.93266544117647054</v>
      </c>
    </row>
    <row r="58" spans="1:229" x14ac:dyDescent="0.25">
      <c r="A58" s="17">
        <v>211</v>
      </c>
      <c r="B58" s="18" t="s">
        <v>100</v>
      </c>
      <c r="C58" s="31">
        <v>0</v>
      </c>
      <c r="D58" s="20">
        <v>0</v>
      </c>
      <c r="E58" s="21">
        <f t="shared" si="30"/>
        <v>0</v>
      </c>
      <c r="F58" s="23">
        <v>0</v>
      </c>
      <c r="G58" s="23">
        <f t="shared" si="25"/>
        <v>0</v>
      </c>
      <c r="H58" s="39">
        <v>0</v>
      </c>
      <c r="I58" s="25">
        <v>0</v>
      </c>
      <c r="J58" s="22">
        <v>0</v>
      </c>
      <c r="K58" s="22">
        <v>0</v>
      </c>
      <c r="L58" s="26">
        <f t="shared" si="26"/>
        <v>0</v>
      </c>
      <c r="M58" s="26">
        <f t="shared" si="27"/>
        <v>0</v>
      </c>
      <c r="N58" s="26">
        <f t="shared" si="28"/>
        <v>0</v>
      </c>
      <c r="O58" s="30">
        <v>0</v>
      </c>
      <c r="P58" s="28">
        <f t="shared" si="29"/>
        <v>0</v>
      </c>
      <c r="Q58" s="29">
        <v>0</v>
      </c>
      <c r="R58" s="29">
        <v>0</v>
      </c>
      <c r="S58" s="29">
        <v>0</v>
      </c>
    </row>
    <row r="59" spans="1:229" x14ac:dyDescent="0.25">
      <c r="A59" s="17">
        <v>212</v>
      </c>
      <c r="B59" s="18" t="s">
        <v>101</v>
      </c>
      <c r="C59" s="31">
        <v>0</v>
      </c>
      <c r="D59" s="20">
        <v>0</v>
      </c>
      <c r="E59" s="21">
        <f t="shared" si="30"/>
        <v>0</v>
      </c>
      <c r="F59" s="23">
        <f>799</f>
        <v>799</v>
      </c>
      <c r="G59" s="23">
        <f t="shared" si="25"/>
        <v>799</v>
      </c>
      <c r="H59" s="39">
        <f>799</f>
        <v>799</v>
      </c>
      <c r="I59" s="25">
        <v>0</v>
      </c>
      <c r="J59" s="22">
        <f>398.04</f>
        <v>398.04</v>
      </c>
      <c r="K59" s="22">
        <f>796.08</f>
        <v>796.08</v>
      </c>
      <c r="L59" s="26">
        <f t="shared" si="26"/>
        <v>2.9199999999999591</v>
      </c>
      <c r="M59" s="26">
        <f t="shared" si="27"/>
        <v>0</v>
      </c>
      <c r="N59" s="26">
        <f t="shared" si="28"/>
        <v>2.9199999999999591</v>
      </c>
      <c r="O59" s="30">
        <f>398.04</f>
        <v>398.04</v>
      </c>
      <c r="P59" s="28">
        <f t="shared" si="29"/>
        <v>398.04</v>
      </c>
      <c r="Q59" s="29">
        <v>0</v>
      </c>
      <c r="R59" s="29">
        <v>0</v>
      </c>
      <c r="S59" s="29">
        <v>0</v>
      </c>
    </row>
    <row r="60" spans="1:229" x14ac:dyDescent="0.25">
      <c r="A60" s="17">
        <v>214</v>
      </c>
      <c r="B60" s="18" t="s">
        <v>102</v>
      </c>
      <c r="C60" s="31">
        <v>0</v>
      </c>
      <c r="D60" s="20">
        <v>0</v>
      </c>
      <c r="E60" s="21">
        <f t="shared" si="30"/>
        <v>0</v>
      </c>
      <c r="F60" s="23">
        <f>15261-14600+1515</f>
        <v>2176</v>
      </c>
      <c r="G60" s="23">
        <f t="shared" si="25"/>
        <v>2176</v>
      </c>
      <c r="H60" s="39">
        <f>15261-14600+1515</f>
        <v>2176</v>
      </c>
      <c r="I60" s="25">
        <v>0</v>
      </c>
      <c r="J60" s="22">
        <f>10.69+564.96</f>
        <v>575.65000000000009</v>
      </c>
      <c r="K60" s="22">
        <f>10.69+564.96</f>
        <v>575.65000000000009</v>
      </c>
      <c r="L60" s="26">
        <f t="shared" si="26"/>
        <v>1600.35</v>
      </c>
      <c r="M60" s="26">
        <f t="shared" si="27"/>
        <v>0</v>
      </c>
      <c r="N60" s="26">
        <f t="shared" si="28"/>
        <v>1600.35</v>
      </c>
      <c r="O60" s="30">
        <f>10.69</f>
        <v>10.69</v>
      </c>
      <c r="P60" s="28">
        <f t="shared" si="29"/>
        <v>564.96</v>
      </c>
      <c r="Q60" s="29">
        <f>SUM(K60/H60*1)</f>
        <v>0.26454503676470592</v>
      </c>
      <c r="R60" s="29">
        <f t="shared" ref="R60:R68" si="31">SUM(J60/G60*1)</f>
        <v>0.26454503676470592</v>
      </c>
      <c r="S60" s="29">
        <f t="shared" ref="S60:S68" si="32">SUM(K60/G60*1)</f>
        <v>0.26454503676470592</v>
      </c>
    </row>
    <row r="61" spans="1:229" x14ac:dyDescent="0.25">
      <c r="A61" s="17" t="s">
        <v>103</v>
      </c>
      <c r="B61" s="18" t="s">
        <v>104</v>
      </c>
      <c r="C61" s="19">
        <v>1000</v>
      </c>
      <c r="D61" s="20">
        <v>0</v>
      </c>
      <c r="E61" s="21">
        <f t="shared" si="30"/>
        <v>1000</v>
      </c>
      <c r="F61" s="22">
        <v>4000</v>
      </c>
      <c r="G61" s="23">
        <f t="shared" si="25"/>
        <v>5000</v>
      </c>
      <c r="H61" s="24">
        <f>1000+4000</f>
        <v>5000</v>
      </c>
      <c r="I61" s="25">
        <v>0</v>
      </c>
      <c r="J61" s="22">
        <f>710.12+820.61</f>
        <v>1530.73</v>
      </c>
      <c r="K61" s="22">
        <f>710.12+4289.88</f>
        <v>5000</v>
      </c>
      <c r="L61" s="26">
        <f t="shared" si="26"/>
        <v>0</v>
      </c>
      <c r="M61" s="26">
        <f t="shared" si="27"/>
        <v>0</v>
      </c>
      <c r="N61" s="26">
        <f t="shared" si="28"/>
        <v>0</v>
      </c>
      <c r="O61" s="30">
        <f>307.62+402.5</f>
        <v>710.12</v>
      </c>
      <c r="P61" s="28">
        <f t="shared" si="29"/>
        <v>4289.88</v>
      </c>
      <c r="Q61" s="29">
        <f>SUM(K61/H61*1)</f>
        <v>1</v>
      </c>
      <c r="R61" s="29">
        <f t="shared" si="31"/>
        <v>0.30614600000000003</v>
      </c>
      <c r="S61" s="29">
        <f t="shared" si="32"/>
        <v>1</v>
      </c>
    </row>
    <row r="62" spans="1:229" x14ac:dyDescent="0.25">
      <c r="A62" s="17" t="s">
        <v>105</v>
      </c>
      <c r="B62" s="18" t="s">
        <v>106</v>
      </c>
      <c r="C62" s="19">
        <v>1743</v>
      </c>
      <c r="D62" s="20">
        <v>0</v>
      </c>
      <c r="E62" s="21">
        <f t="shared" si="30"/>
        <v>1743</v>
      </c>
      <c r="F62" s="22">
        <v>757</v>
      </c>
      <c r="G62" s="23">
        <f t="shared" si="25"/>
        <v>2500</v>
      </c>
      <c r="H62" s="24">
        <f>1743+757</f>
        <v>2500</v>
      </c>
      <c r="I62" s="25">
        <v>0</v>
      </c>
      <c r="J62" s="22">
        <f>245.15+277.39</f>
        <v>522.54</v>
      </c>
      <c r="K62" s="22">
        <f>245.15+2254.85</f>
        <v>2500</v>
      </c>
      <c r="L62" s="26">
        <f t="shared" si="26"/>
        <v>0</v>
      </c>
      <c r="M62" s="26">
        <f t="shared" si="27"/>
        <v>0</v>
      </c>
      <c r="N62" s="26">
        <f t="shared" si="28"/>
        <v>0</v>
      </c>
      <c r="O62" s="30">
        <f>89.13+156.02</f>
        <v>245.15</v>
      </c>
      <c r="P62" s="28">
        <f t="shared" si="29"/>
        <v>2254.85</v>
      </c>
      <c r="Q62" s="29">
        <f>SUM(K62/H62*1)</f>
        <v>1</v>
      </c>
      <c r="R62" s="29">
        <f t="shared" si="31"/>
        <v>0.20901599999999998</v>
      </c>
      <c r="S62" s="29">
        <f t="shared" si="32"/>
        <v>1</v>
      </c>
    </row>
    <row r="63" spans="1:229" x14ac:dyDescent="0.25">
      <c r="A63" s="17" t="s">
        <v>107</v>
      </c>
      <c r="B63" s="18" t="s">
        <v>108</v>
      </c>
      <c r="C63" s="19">
        <v>2179</v>
      </c>
      <c r="D63" s="20">
        <v>0</v>
      </c>
      <c r="E63" s="21">
        <f t="shared" si="30"/>
        <v>2179</v>
      </c>
      <c r="F63" s="22">
        <f>-700-479</f>
        <v>-1179</v>
      </c>
      <c r="G63" s="23">
        <f t="shared" si="25"/>
        <v>1000</v>
      </c>
      <c r="H63" s="39">
        <f>1000</f>
        <v>1000</v>
      </c>
      <c r="I63" s="25">
        <v>0</v>
      </c>
      <c r="J63" s="22">
        <v>0</v>
      </c>
      <c r="K63" s="22">
        <v>0</v>
      </c>
      <c r="L63" s="26">
        <f t="shared" si="26"/>
        <v>1000</v>
      </c>
      <c r="M63" s="26">
        <f t="shared" si="27"/>
        <v>0</v>
      </c>
      <c r="N63" s="26">
        <f t="shared" si="28"/>
        <v>1000</v>
      </c>
      <c r="O63" s="30">
        <v>0</v>
      </c>
      <c r="P63" s="28">
        <f t="shared" si="29"/>
        <v>0</v>
      </c>
      <c r="Q63" s="29">
        <v>0</v>
      </c>
      <c r="R63" s="29">
        <f t="shared" si="31"/>
        <v>0</v>
      </c>
      <c r="S63" s="29">
        <f t="shared" si="32"/>
        <v>0</v>
      </c>
    </row>
    <row r="64" spans="1:229" x14ac:dyDescent="0.25">
      <c r="A64" s="17">
        <v>231</v>
      </c>
      <c r="B64" s="18" t="s">
        <v>109</v>
      </c>
      <c r="C64" s="19">
        <v>2363</v>
      </c>
      <c r="D64" s="20">
        <v>0</v>
      </c>
      <c r="E64" s="21">
        <f t="shared" si="30"/>
        <v>2363</v>
      </c>
      <c r="F64" s="22">
        <f>-996-197-300</f>
        <v>-1493</v>
      </c>
      <c r="G64" s="23">
        <f t="shared" si="25"/>
        <v>870</v>
      </c>
      <c r="H64" s="39">
        <f>1367-197-300</f>
        <v>870</v>
      </c>
      <c r="I64" s="25">
        <v>0</v>
      </c>
      <c r="J64" s="22">
        <f>60+305.28</f>
        <v>365.28</v>
      </c>
      <c r="K64" s="22">
        <f>60+546.03-144.45</f>
        <v>461.58</v>
      </c>
      <c r="L64" s="26">
        <f t="shared" si="26"/>
        <v>408.42</v>
      </c>
      <c r="M64" s="26">
        <f t="shared" si="27"/>
        <v>0</v>
      </c>
      <c r="N64" s="26">
        <f t="shared" si="28"/>
        <v>408.42</v>
      </c>
      <c r="O64" s="30">
        <f>60+55</f>
        <v>115</v>
      </c>
      <c r="P64" s="28">
        <f t="shared" si="29"/>
        <v>346.58</v>
      </c>
      <c r="Q64" s="29">
        <f>SUM(K64/H64*1)</f>
        <v>0.53055172413793106</v>
      </c>
      <c r="R64" s="29">
        <f t="shared" si="31"/>
        <v>0.4198620689655172</v>
      </c>
      <c r="S64" s="29">
        <f t="shared" si="32"/>
        <v>0.53055172413793106</v>
      </c>
    </row>
    <row r="65" spans="1:229" x14ac:dyDescent="0.25">
      <c r="A65" s="17" t="s">
        <v>110</v>
      </c>
      <c r="B65" s="18" t="s">
        <v>111</v>
      </c>
      <c r="C65" s="19">
        <v>1000</v>
      </c>
      <c r="D65" s="20">
        <v>0</v>
      </c>
      <c r="E65" s="21">
        <f t="shared" si="30"/>
        <v>1000</v>
      </c>
      <c r="F65" s="22">
        <f>1000-200-200</f>
        <v>600</v>
      </c>
      <c r="G65" s="23">
        <f t="shared" si="25"/>
        <v>1600</v>
      </c>
      <c r="H65" s="39">
        <f>2000-200-200</f>
        <v>1600</v>
      </c>
      <c r="I65" s="25">
        <v>0</v>
      </c>
      <c r="J65" s="22">
        <f>1500.64</f>
        <v>1500.64</v>
      </c>
      <c r="K65" s="22">
        <f>1500.64</f>
        <v>1500.64</v>
      </c>
      <c r="L65" s="26">
        <f t="shared" si="26"/>
        <v>99.3599999999999</v>
      </c>
      <c r="M65" s="26">
        <f t="shared" si="27"/>
        <v>0</v>
      </c>
      <c r="N65" s="26">
        <f t="shared" si="28"/>
        <v>99.3599999999999</v>
      </c>
      <c r="O65" s="30">
        <f>567.21</f>
        <v>567.21</v>
      </c>
      <c r="P65" s="28">
        <f t="shared" si="29"/>
        <v>933.43000000000006</v>
      </c>
      <c r="Q65" s="29">
        <f>SUM(K65/H65*1)</f>
        <v>0.93790000000000007</v>
      </c>
      <c r="R65" s="29">
        <f t="shared" si="31"/>
        <v>0.93790000000000007</v>
      </c>
      <c r="S65" s="29">
        <f t="shared" si="32"/>
        <v>0.93790000000000007</v>
      </c>
    </row>
    <row r="66" spans="1:229" s="40" customFormat="1" ht="15.75" x14ac:dyDescent="0.25">
      <c r="A66" s="17">
        <v>239</v>
      </c>
      <c r="B66" s="18" t="s">
        <v>112</v>
      </c>
      <c r="C66" s="31">
        <v>0</v>
      </c>
      <c r="D66" s="20">
        <v>0</v>
      </c>
      <c r="E66" s="21">
        <f t="shared" si="30"/>
        <v>0</v>
      </c>
      <c r="F66" s="23">
        <f>450-200-200</f>
        <v>50</v>
      </c>
      <c r="G66" s="23">
        <f t="shared" si="25"/>
        <v>50</v>
      </c>
      <c r="H66" s="39">
        <f>450-200-200</f>
        <v>50</v>
      </c>
      <c r="I66" s="25">
        <v>0</v>
      </c>
      <c r="J66" s="22">
        <v>0</v>
      </c>
      <c r="K66" s="22">
        <v>0</v>
      </c>
      <c r="L66" s="26">
        <f t="shared" si="26"/>
        <v>50</v>
      </c>
      <c r="M66" s="26">
        <f t="shared" si="27"/>
        <v>0</v>
      </c>
      <c r="N66" s="26">
        <f t="shared" si="28"/>
        <v>50</v>
      </c>
      <c r="O66" s="30">
        <v>0</v>
      </c>
      <c r="P66" s="28">
        <f t="shared" si="29"/>
        <v>0</v>
      </c>
      <c r="Q66" s="29">
        <f>SUM(K66/H66*1)</f>
        <v>0</v>
      </c>
      <c r="R66" s="29">
        <f t="shared" si="31"/>
        <v>0</v>
      </c>
      <c r="S66" s="29">
        <f t="shared" si="32"/>
        <v>0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</row>
    <row r="67" spans="1:229" s="40" customFormat="1" ht="15.75" x14ac:dyDescent="0.25">
      <c r="A67" s="17">
        <v>242</v>
      </c>
      <c r="B67" s="18" t="s">
        <v>113</v>
      </c>
      <c r="C67" s="19">
        <v>250</v>
      </c>
      <c r="D67" s="20">
        <v>0</v>
      </c>
      <c r="E67" s="21">
        <f t="shared" si="30"/>
        <v>250</v>
      </c>
      <c r="F67" s="22">
        <f>-50</f>
        <v>-50</v>
      </c>
      <c r="G67" s="23">
        <f t="shared" si="25"/>
        <v>200</v>
      </c>
      <c r="H67" s="39">
        <f>250-50</f>
        <v>200</v>
      </c>
      <c r="I67" s="25">
        <v>0</v>
      </c>
      <c r="J67" s="22">
        <f>134.71</f>
        <v>134.71</v>
      </c>
      <c r="K67" s="22">
        <f>134.71</f>
        <v>134.71</v>
      </c>
      <c r="L67" s="26">
        <f t="shared" si="26"/>
        <v>65.289999999999992</v>
      </c>
      <c r="M67" s="26">
        <f t="shared" si="27"/>
        <v>0</v>
      </c>
      <c r="N67" s="26">
        <f t="shared" si="28"/>
        <v>65.289999999999992</v>
      </c>
      <c r="O67" s="30">
        <v>0</v>
      </c>
      <c r="P67" s="28">
        <f t="shared" si="29"/>
        <v>134.71</v>
      </c>
      <c r="Q67" s="29">
        <f>SUM(K67/H67*1)</f>
        <v>0.67355000000000009</v>
      </c>
      <c r="R67" s="29">
        <f t="shared" si="31"/>
        <v>0.67355000000000009</v>
      </c>
      <c r="S67" s="29">
        <f t="shared" si="32"/>
        <v>0.67355000000000009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</row>
    <row r="68" spans="1:229" s="40" customFormat="1" ht="15.75" x14ac:dyDescent="0.25">
      <c r="A68" s="17" t="s">
        <v>114</v>
      </c>
      <c r="B68" s="18" t="s">
        <v>115</v>
      </c>
      <c r="C68" s="19">
        <v>1500</v>
      </c>
      <c r="D68" s="20">
        <v>0</v>
      </c>
      <c r="E68" s="21">
        <f t="shared" si="30"/>
        <v>1500</v>
      </c>
      <c r="F68" s="22">
        <f>-300+400-50</f>
        <v>50</v>
      </c>
      <c r="G68" s="23">
        <f t="shared" si="25"/>
        <v>1550</v>
      </c>
      <c r="H68" s="39">
        <f>200+400+950</f>
        <v>1550</v>
      </c>
      <c r="I68" s="25">
        <v>0</v>
      </c>
      <c r="J68" s="22">
        <f>540.33</f>
        <v>540.33000000000004</v>
      </c>
      <c r="K68" s="22">
        <f>465.35+74.98</f>
        <v>540.33000000000004</v>
      </c>
      <c r="L68" s="26">
        <f t="shared" si="26"/>
        <v>1009.67</v>
      </c>
      <c r="M68" s="26">
        <f t="shared" si="27"/>
        <v>0</v>
      </c>
      <c r="N68" s="26">
        <f t="shared" si="28"/>
        <v>1009.67</v>
      </c>
      <c r="O68" s="30">
        <v>0</v>
      </c>
      <c r="P68" s="28">
        <f t="shared" si="29"/>
        <v>540.33000000000004</v>
      </c>
      <c r="Q68" s="29">
        <f>SUM(K68/H68*1)</f>
        <v>0.34860000000000002</v>
      </c>
      <c r="R68" s="29">
        <f t="shared" si="31"/>
        <v>0.34860000000000002</v>
      </c>
      <c r="S68" s="29">
        <f t="shared" si="32"/>
        <v>0.34860000000000002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</row>
    <row r="69" spans="1:229" s="40" customFormat="1" ht="15.75" x14ac:dyDescent="0.25">
      <c r="A69" s="17">
        <v>244</v>
      </c>
      <c r="B69" s="18" t="s">
        <v>116</v>
      </c>
      <c r="C69" s="31">
        <v>0</v>
      </c>
      <c r="D69" s="20">
        <v>0</v>
      </c>
      <c r="E69" s="21">
        <f t="shared" si="30"/>
        <v>0</v>
      </c>
      <c r="F69" s="23"/>
      <c r="G69" s="23">
        <f t="shared" si="25"/>
        <v>0</v>
      </c>
      <c r="H69" s="39">
        <v>0</v>
      </c>
      <c r="I69" s="25">
        <v>0</v>
      </c>
      <c r="J69" s="22">
        <v>0</v>
      </c>
      <c r="K69" s="22">
        <v>0</v>
      </c>
      <c r="L69" s="26">
        <f t="shared" si="26"/>
        <v>0</v>
      </c>
      <c r="M69" s="26">
        <f t="shared" si="27"/>
        <v>0</v>
      </c>
      <c r="N69" s="26">
        <f t="shared" si="28"/>
        <v>0</v>
      </c>
      <c r="O69" s="30">
        <v>0</v>
      </c>
      <c r="P69" s="28">
        <f t="shared" si="29"/>
        <v>0</v>
      </c>
      <c r="Q69" s="29">
        <v>0</v>
      </c>
      <c r="R69" s="29">
        <v>0</v>
      </c>
      <c r="S69" s="29">
        <v>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</row>
    <row r="70" spans="1:229" s="40" customFormat="1" ht="15.75" x14ac:dyDescent="0.25">
      <c r="A70" s="17" t="s">
        <v>117</v>
      </c>
      <c r="B70" s="18" t="s">
        <v>118</v>
      </c>
      <c r="C70" s="19">
        <v>250</v>
      </c>
      <c r="D70" s="20">
        <v>0</v>
      </c>
      <c r="E70" s="21">
        <f t="shared" si="30"/>
        <v>250</v>
      </c>
      <c r="F70" s="22">
        <f>1608-1000+100</f>
        <v>708</v>
      </c>
      <c r="G70" s="23">
        <f t="shared" si="25"/>
        <v>958</v>
      </c>
      <c r="H70" s="39">
        <f>1858-1000+100</f>
        <v>958</v>
      </c>
      <c r="I70" s="25">
        <v>0</v>
      </c>
      <c r="J70" s="22">
        <f>213.14+474.21+58.36</f>
        <v>745.70999999999992</v>
      </c>
      <c r="K70" s="22">
        <f>352.66+485.61-15.25</f>
        <v>823.02</v>
      </c>
      <c r="L70" s="26">
        <f t="shared" si="26"/>
        <v>134.98000000000002</v>
      </c>
      <c r="M70" s="26">
        <f t="shared" si="27"/>
        <v>0</v>
      </c>
      <c r="N70" s="26">
        <f t="shared" si="28"/>
        <v>134.98000000000002</v>
      </c>
      <c r="O70" s="30">
        <f>213.14</f>
        <v>213.14</v>
      </c>
      <c r="P70" s="28">
        <f t="shared" si="29"/>
        <v>609.88</v>
      </c>
      <c r="Q70" s="29">
        <f>SUM(K70/H70*1)</f>
        <v>0.85910229645093938</v>
      </c>
      <c r="R70" s="29">
        <f>SUM(J70/G70*1)</f>
        <v>0.77840292275574108</v>
      </c>
      <c r="S70" s="29">
        <f>SUM(K70/G70*1)</f>
        <v>0.85910229645093938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</row>
    <row r="71" spans="1:229" s="40" customFormat="1" ht="15.75" x14ac:dyDescent="0.25">
      <c r="A71" s="17">
        <v>252</v>
      </c>
      <c r="B71" s="18" t="s">
        <v>119</v>
      </c>
      <c r="C71" s="31">
        <v>0</v>
      </c>
      <c r="D71" s="20">
        <v>0</v>
      </c>
      <c r="E71" s="21">
        <f t="shared" si="30"/>
        <v>0</v>
      </c>
      <c r="F71" s="23"/>
      <c r="G71" s="23">
        <f t="shared" si="25"/>
        <v>0</v>
      </c>
      <c r="H71" s="39">
        <v>0</v>
      </c>
      <c r="I71" s="25">
        <v>0</v>
      </c>
      <c r="J71" s="22">
        <v>0</v>
      </c>
      <c r="K71" s="22">
        <v>0</v>
      </c>
      <c r="L71" s="26">
        <f t="shared" si="26"/>
        <v>0</v>
      </c>
      <c r="M71" s="26">
        <f t="shared" si="27"/>
        <v>0</v>
      </c>
      <c r="N71" s="26">
        <f t="shared" si="28"/>
        <v>0</v>
      </c>
      <c r="O71" s="30">
        <v>0</v>
      </c>
      <c r="P71" s="28">
        <f t="shared" si="29"/>
        <v>0</v>
      </c>
      <c r="Q71" s="29">
        <v>0</v>
      </c>
      <c r="R71" s="29">
        <v>0</v>
      </c>
      <c r="S71" s="29">
        <v>0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</row>
    <row r="72" spans="1:229" s="40" customFormat="1" ht="15.75" x14ac:dyDescent="0.25">
      <c r="A72" s="17" t="s">
        <v>120</v>
      </c>
      <c r="B72" s="18" t="s">
        <v>121</v>
      </c>
      <c r="C72" s="31">
        <v>0</v>
      </c>
      <c r="D72" s="20">
        <v>0</v>
      </c>
      <c r="E72" s="21">
        <f t="shared" si="30"/>
        <v>0</v>
      </c>
      <c r="F72" s="23">
        <f>350+150</f>
        <v>500</v>
      </c>
      <c r="G72" s="23">
        <f t="shared" si="25"/>
        <v>500</v>
      </c>
      <c r="H72" s="39">
        <f>350+150</f>
        <v>500</v>
      </c>
      <c r="I72" s="25">
        <v>0</v>
      </c>
      <c r="J72" s="22">
        <f>400.94</f>
        <v>400.94</v>
      </c>
      <c r="K72" s="22">
        <f>323.2+77.74</f>
        <v>400.94</v>
      </c>
      <c r="L72" s="26">
        <f t="shared" si="26"/>
        <v>99.06</v>
      </c>
      <c r="M72" s="26">
        <f t="shared" si="27"/>
        <v>0</v>
      </c>
      <c r="N72" s="26">
        <f t="shared" si="28"/>
        <v>99.06</v>
      </c>
      <c r="O72" s="30">
        <v>0</v>
      </c>
      <c r="P72" s="28">
        <f t="shared" si="29"/>
        <v>400.94</v>
      </c>
      <c r="Q72" s="29">
        <f>SUM(K72/H72*1)</f>
        <v>0.80188000000000004</v>
      </c>
      <c r="R72" s="29">
        <f>SUM(J72/G72*1)</f>
        <v>0.80188000000000004</v>
      </c>
      <c r="S72" s="29">
        <f>SUM(K72/G72*1)</f>
        <v>0.80188000000000004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</row>
    <row r="73" spans="1:229" s="40" customFormat="1" ht="15.75" x14ac:dyDescent="0.25">
      <c r="A73" s="17" t="s">
        <v>122</v>
      </c>
      <c r="B73" s="18" t="s">
        <v>123</v>
      </c>
      <c r="C73" s="31">
        <v>0</v>
      </c>
      <c r="D73" s="20">
        <v>0</v>
      </c>
      <c r="E73" s="21">
        <f t="shared" si="30"/>
        <v>0</v>
      </c>
      <c r="F73" s="23">
        <f>200-100</f>
        <v>100</v>
      </c>
      <c r="G73" s="23">
        <f t="shared" si="25"/>
        <v>100</v>
      </c>
      <c r="H73" s="39">
        <f>200-100</f>
        <v>100</v>
      </c>
      <c r="I73" s="25">
        <v>0</v>
      </c>
      <c r="J73" s="22">
        <f>62.04+17.07</f>
        <v>79.11</v>
      </c>
      <c r="K73" s="22">
        <f>74.47+4.65</f>
        <v>79.12</v>
      </c>
      <c r="L73" s="26">
        <f t="shared" si="26"/>
        <v>20.879999999999995</v>
      </c>
      <c r="M73" s="26">
        <f t="shared" si="27"/>
        <v>0</v>
      </c>
      <c r="N73" s="26">
        <f t="shared" si="28"/>
        <v>20.879999999999995</v>
      </c>
      <c r="O73" s="30">
        <f>62.04</f>
        <v>62.04</v>
      </c>
      <c r="P73" s="28">
        <f t="shared" si="29"/>
        <v>17.080000000000005</v>
      </c>
      <c r="Q73" s="29">
        <f>SUM(K73/H73*1)</f>
        <v>0.79120000000000001</v>
      </c>
      <c r="R73" s="29">
        <f>SUM(J73/G73*1)</f>
        <v>0.79110000000000003</v>
      </c>
      <c r="S73" s="29">
        <f>SUM(K73/G73*1)</f>
        <v>0.79120000000000001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</row>
    <row r="74" spans="1:229" s="40" customFormat="1" ht="15.75" x14ac:dyDescent="0.25">
      <c r="A74" s="17" t="s">
        <v>124</v>
      </c>
      <c r="B74" s="18" t="s">
        <v>125</v>
      </c>
      <c r="C74" s="31">
        <v>0</v>
      </c>
      <c r="D74" s="20">
        <v>0</v>
      </c>
      <c r="E74" s="21">
        <f t="shared" si="30"/>
        <v>0</v>
      </c>
      <c r="F74" s="23">
        <f>350+350</f>
        <v>700</v>
      </c>
      <c r="G74" s="23">
        <f t="shared" si="25"/>
        <v>700</v>
      </c>
      <c r="H74" s="39">
        <f>350+350</f>
        <v>700</v>
      </c>
      <c r="I74" s="25">
        <v>0</v>
      </c>
      <c r="J74" s="22">
        <f>347.78</f>
        <v>347.78</v>
      </c>
      <c r="K74" s="22">
        <f>344.78+347.78</f>
        <v>692.56</v>
      </c>
      <c r="L74" s="26">
        <f t="shared" si="26"/>
        <v>7.4400000000000546</v>
      </c>
      <c r="M74" s="26">
        <f t="shared" si="27"/>
        <v>0</v>
      </c>
      <c r="N74" s="26">
        <f t="shared" si="28"/>
        <v>7.4400000000000546</v>
      </c>
      <c r="O74" s="30">
        <v>0</v>
      </c>
      <c r="P74" s="28">
        <f t="shared" si="29"/>
        <v>692.56</v>
      </c>
      <c r="Q74" s="29">
        <f>SUM(K74/H74*1)</f>
        <v>0.98937142857142846</v>
      </c>
      <c r="R74" s="29">
        <f>SUM(J74/G74*1)</f>
        <v>0.4968285714285714</v>
      </c>
      <c r="S74" s="29">
        <f>SUM(K74/G74*1)</f>
        <v>0.98937142857142846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</row>
    <row r="75" spans="1:229" s="40" customFormat="1" ht="15.75" x14ac:dyDescent="0.25">
      <c r="A75" s="17">
        <v>256</v>
      </c>
      <c r="B75" s="18" t="s">
        <v>126</v>
      </c>
      <c r="C75" s="31">
        <v>0</v>
      </c>
      <c r="D75" s="20">
        <v>0</v>
      </c>
      <c r="E75" s="21">
        <f t="shared" si="30"/>
        <v>0</v>
      </c>
      <c r="F75" s="23">
        <f>100+550</f>
        <v>650</v>
      </c>
      <c r="G75" s="23">
        <f t="shared" si="25"/>
        <v>650</v>
      </c>
      <c r="H75" s="39">
        <f>100+550</f>
        <v>650</v>
      </c>
      <c r="I75" s="25">
        <v>0</v>
      </c>
      <c r="J75" s="22">
        <f>9.16+572.14</f>
        <v>581.29999999999995</v>
      </c>
      <c r="K75" s="22">
        <f>487.24+94.06</f>
        <v>581.29999999999995</v>
      </c>
      <c r="L75" s="26">
        <f t="shared" si="26"/>
        <v>68.700000000000045</v>
      </c>
      <c r="M75" s="26">
        <f t="shared" si="27"/>
        <v>0</v>
      </c>
      <c r="N75" s="26">
        <f t="shared" si="28"/>
        <v>68.700000000000045</v>
      </c>
      <c r="O75" s="30">
        <f>9.16</f>
        <v>9.16</v>
      </c>
      <c r="P75" s="28">
        <f t="shared" si="29"/>
        <v>572.14</v>
      </c>
      <c r="Q75" s="29">
        <f>SUM(K75/H75*1)</f>
        <v>0.89430769230769225</v>
      </c>
      <c r="R75" s="29">
        <f>SUM(J75/G75*1)</f>
        <v>0.89430769230769225</v>
      </c>
      <c r="S75" s="29">
        <f>SUM(K75/G75*1)</f>
        <v>0.89430769230769225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</row>
    <row r="76" spans="1:229" s="40" customFormat="1" ht="15.75" x14ac:dyDescent="0.25">
      <c r="A76" s="17">
        <v>259</v>
      </c>
      <c r="B76" s="18" t="s">
        <v>127</v>
      </c>
      <c r="C76" s="31">
        <v>0</v>
      </c>
      <c r="D76" s="20">
        <v>0</v>
      </c>
      <c r="E76" s="21">
        <f t="shared" si="30"/>
        <v>0</v>
      </c>
      <c r="F76" s="23">
        <v>308</v>
      </c>
      <c r="G76" s="23">
        <f t="shared" si="25"/>
        <v>308</v>
      </c>
      <c r="H76" s="39">
        <f>308</f>
        <v>308</v>
      </c>
      <c r="I76" s="25">
        <v>0</v>
      </c>
      <c r="J76" s="22">
        <f>6.41+75.19+161.52</f>
        <v>243.12</v>
      </c>
      <c r="K76" s="22">
        <f>6.41+232.34+4.37</f>
        <v>243.12</v>
      </c>
      <c r="L76" s="26">
        <f t="shared" si="26"/>
        <v>64.88</v>
      </c>
      <c r="M76" s="26">
        <f t="shared" si="27"/>
        <v>0</v>
      </c>
      <c r="N76" s="26">
        <f t="shared" si="28"/>
        <v>64.88</v>
      </c>
      <c r="O76" s="30">
        <f>81.6</f>
        <v>81.599999999999994</v>
      </c>
      <c r="P76" s="28">
        <f t="shared" si="29"/>
        <v>161.52000000000001</v>
      </c>
      <c r="Q76" s="29">
        <f>SUM(K76/H76*1)</f>
        <v>0.78935064935064936</v>
      </c>
      <c r="R76" s="29">
        <f>SUM(J76/G76*1)</f>
        <v>0.78935064935064936</v>
      </c>
      <c r="S76" s="29">
        <f>SUM(K76/G76*1)</f>
        <v>0.78935064935064936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</row>
    <row r="77" spans="1:229" s="40" customFormat="1" ht="15.75" x14ac:dyDescent="0.25">
      <c r="A77" s="17" t="s">
        <v>128</v>
      </c>
      <c r="B77" s="18" t="s">
        <v>129</v>
      </c>
      <c r="C77" s="31">
        <v>0</v>
      </c>
      <c r="D77" s="20">
        <v>0</v>
      </c>
      <c r="E77" s="21">
        <f t="shared" si="30"/>
        <v>0</v>
      </c>
      <c r="F77" s="23">
        <f>0</f>
        <v>0</v>
      </c>
      <c r="G77" s="23">
        <f t="shared" si="25"/>
        <v>0</v>
      </c>
      <c r="H77" s="39">
        <v>0</v>
      </c>
      <c r="I77" s="25">
        <v>0</v>
      </c>
      <c r="J77" s="22">
        <v>0</v>
      </c>
      <c r="K77" s="22">
        <v>0</v>
      </c>
      <c r="L77" s="26">
        <f t="shared" si="26"/>
        <v>0</v>
      </c>
      <c r="M77" s="26">
        <f t="shared" si="27"/>
        <v>0</v>
      </c>
      <c r="N77" s="26">
        <f t="shared" si="28"/>
        <v>0</v>
      </c>
      <c r="O77" s="30">
        <v>0</v>
      </c>
      <c r="P77" s="28">
        <f t="shared" si="29"/>
        <v>0</v>
      </c>
      <c r="Q77" s="29">
        <v>0</v>
      </c>
      <c r="R77" s="29">
        <v>0</v>
      </c>
      <c r="S77" s="29">
        <v>0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</row>
    <row r="78" spans="1:229" s="40" customFormat="1" ht="15.75" x14ac:dyDescent="0.25">
      <c r="A78" s="17">
        <v>262</v>
      </c>
      <c r="B78" s="18" t="s">
        <v>130</v>
      </c>
      <c r="C78" s="31">
        <v>0</v>
      </c>
      <c r="D78" s="20">
        <v>0</v>
      </c>
      <c r="E78" s="21">
        <f t="shared" si="30"/>
        <v>0</v>
      </c>
      <c r="F78" s="23">
        <f>200</f>
        <v>200</v>
      </c>
      <c r="G78" s="23">
        <f t="shared" si="25"/>
        <v>200</v>
      </c>
      <c r="H78" s="39">
        <f>200</f>
        <v>200</v>
      </c>
      <c r="I78" s="25">
        <v>0</v>
      </c>
      <c r="J78" s="22">
        <f>187.32</f>
        <v>187.32</v>
      </c>
      <c r="K78" s="22">
        <f>128.55+58.77</f>
        <v>187.32000000000002</v>
      </c>
      <c r="L78" s="26">
        <f t="shared" si="26"/>
        <v>12.679999999999978</v>
      </c>
      <c r="M78" s="26">
        <f t="shared" si="27"/>
        <v>0</v>
      </c>
      <c r="N78" s="26">
        <f t="shared" si="28"/>
        <v>12.679999999999978</v>
      </c>
      <c r="O78" s="30">
        <v>0</v>
      </c>
      <c r="P78" s="28">
        <f t="shared" si="29"/>
        <v>187.32000000000002</v>
      </c>
      <c r="Q78" s="29">
        <f t="shared" ref="Q78:Q86" si="33">SUM(K78/H78*1)</f>
        <v>0.9366000000000001</v>
      </c>
      <c r="R78" s="29">
        <f t="shared" ref="R78:R86" si="34">SUM(J78/G78*1)</f>
        <v>0.93659999999999999</v>
      </c>
      <c r="S78" s="29">
        <f t="shared" ref="S78:S86" si="35">SUM(K78/G78*1)</f>
        <v>0.9366000000000001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</row>
    <row r="79" spans="1:229" s="40" customFormat="1" ht="15.75" x14ac:dyDescent="0.25">
      <c r="A79" s="17" t="s">
        <v>131</v>
      </c>
      <c r="B79" s="18" t="s">
        <v>132</v>
      </c>
      <c r="C79" s="19">
        <v>1000</v>
      </c>
      <c r="D79" s="20">
        <v>0</v>
      </c>
      <c r="E79" s="21">
        <f t="shared" si="30"/>
        <v>1000</v>
      </c>
      <c r="F79" s="22">
        <f>-107-100+1400</f>
        <v>1193</v>
      </c>
      <c r="G79" s="23">
        <f t="shared" si="25"/>
        <v>2193</v>
      </c>
      <c r="H79" s="39">
        <f>393-100+1900</f>
        <v>2193</v>
      </c>
      <c r="I79" s="25">
        <v>0</v>
      </c>
      <c r="J79" s="22">
        <f>92.29+666.14</f>
        <v>758.43</v>
      </c>
      <c r="K79" s="22">
        <f>92.29+1472.14</f>
        <v>1564.43</v>
      </c>
      <c r="L79" s="26">
        <f t="shared" si="26"/>
        <v>628.56999999999994</v>
      </c>
      <c r="M79" s="26">
        <f t="shared" si="27"/>
        <v>0</v>
      </c>
      <c r="N79" s="26">
        <f t="shared" si="28"/>
        <v>628.56999999999994</v>
      </c>
      <c r="O79" s="30">
        <f>92.29</f>
        <v>92.29</v>
      </c>
      <c r="P79" s="28">
        <f t="shared" si="29"/>
        <v>1472.14</v>
      </c>
      <c r="Q79" s="29">
        <f t="shared" si="33"/>
        <v>0.71337437300501594</v>
      </c>
      <c r="R79" s="29">
        <f t="shared" si="34"/>
        <v>0.3458413132694938</v>
      </c>
      <c r="S79" s="29">
        <f t="shared" si="35"/>
        <v>0.71337437300501594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</row>
    <row r="80" spans="1:229" s="40" customFormat="1" ht="15.75" x14ac:dyDescent="0.25">
      <c r="A80" s="17" t="s">
        <v>133</v>
      </c>
      <c r="B80" s="18" t="s">
        <v>134</v>
      </c>
      <c r="C80" s="31">
        <v>0</v>
      </c>
      <c r="D80" s="20">
        <v>0</v>
      </c>
      <c r="E80" s="21">
        <f t="shared" si="30"/>
        <v>0</v>
      </c>
      <c r="F80" s="23">
        <f>8050-300</f>
        <v>7750</v>
      </c>
      <c r="G80" s="23">
        <f t="shared" si="25"/>
        <v>7750</v>
      </c>
      <c r="H80" s="39">
        <f>8050-300</f>
        <v>7750</v>
      </c>
      <c r="I80" s="25">
        <v>0</v>
      </c>
      <c r="J80" s="22">
        <f>269.99+323.6+2.73</f>
        <v>596.32000000000005</v>
      </c>
      <c r="K80" s="22">
        <f>269.99+7214.4+99.03</f>
        <v>7583.4199999999992</v>
      </c>
      <c r="L80" s="26">
        <f t="shared" si="26"/>
        <v>166.58000000000084</v>
      </c>
      <c r="M80" s="26">
        <f t="shared" si="27"/>
        <v>0</v>
      </c>
      <c r="N80" s="26">
        <f t="shared" si="28"/>
        <v>166.58000000000084</v>
      </c>
      <c r="O80" s="30">
        <f>523.74+32.36</f>
        <v>556.1</v>
      </c>
      <c r="P80" s="28">
        <f t="shared" si="29"/>
        <v>7027.3199999999988</v>
      </c>
      <c r="Q80" s="29">
        <f t="shared" si="33"/>
        <v>0.97850580645161278</v>
      </c>
      <c r="R80" s="29">
        <f t="shared" si="34"/>
        <v>7.6944516129032262E-2</v>
      </c>
      <c r="S80" s="29">
        <f t="shared" si="35"/>
        <v>0.97850580645161278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</row>
    <row r="81" spans="1:229" s="40" customFormat="1" ht="15.75" x14ac:dyDescent="0.25">
      <c r="A81" s="17" t="s">
        <v>135</v>
      </c>
      <c r="B81" s="18" t="s">
        <v>136</v>
      </c>
      <c r="C81" s="19">
        <v>1000</v>
      </c>
      <c r="D81" s="20">
        <v>0</v>
      </c>
      <c r="E81" s="21">
        <f t="shared" si="30"/>
        <v>1000</v>
      </c>
      <c r="F81" s="22">
        <f>-698-250</f>
        <v>-948</v>
      </c>
      <c r="G81" s="23">
        <f t="shared" si="25"/>
        <v>52</v>
      </c>
      <c r="H81" s="39">
        <f>302-250</f>
        <v>52</v>
      </c>
      <c r="I81" s="25">
        <v>0</v>
      </c>
      <c r="J81" s="22">
        <f>24.46+2</f>
        <v>26.46</v>
      </c>
      <c r="K81" s="22">
        <f>24.46+2</f>
        <v>26.46</v>
      </c>
      <c r="L81" s="26">
        <f t="shared" si="26"/>
        <v>25.54</v>
      </c>
      <c r="M81" s="26">
        <f t="shared" si="27"/>
        <v>0</v>
      </c>
      <c r="N81" s="26">
        <f t="shared" si="28"/>
        <v>25.54</v>
      </c>
      <c r="O81" s="30">
        <f>24.46</f>
        <v>24.46</v>
      </c>
      <c r="P81" s="28">
        <f t="shared" si="29"/>
        <v>2</v>
      </c>
      <c r="Q81" s="29">
        <f t="shared" si="33"/>
        <v>0.50884615384615384</v>
      </c>
      <c r="R81" s="29">
        <f t="shared" si="34"/>
        <v>0.50884615384615384</v>
      </c>
      <c r="S81" s="29">
        <f t="shared" si="35"/>
        <v>0.50884615384615384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</row>
    <row r="82" spans="1:229" x14ac:dyDescent="0.25">
      <c r="A82" s="17" t="s">
        <v>137</v>
      </c>
      <c r="B82" s="18" t="s">
        <v>138</v>
      </c>
      <c r="C82" s="19">
        <v>2246</v>
      </c>
      <c r="D82" s="20">
        <v>0</v>
      </c>
      <c r="E82" s="21">
        <f t="shared" si="30"/>
        <v>2246</v>
      </c>
      <c r="F82" s="22">
        <f>2718-3400</f>
        <v>-682</v>
      </c>
      <c r="G82" s="23">
        <f t="shared" si="25"/>
        <v>1564</v>
      </c>
      <c r="H82" s="39">
        <f>4964-3400</f>
        <v>1564</v>
      </c>
      <c r="I82" s="25">
        <v>0</v>
      </c>
      <c r="J82" s="22">
        <f>128.86+1333.77-323.6</f>
        <v>1139.0300000000002</v>
      </c>
      <c r="K82" s="22">
        <f>1053.02+409.61</f>
        <v>1462.63</v>
      </c>
      <c r="L82" s="26">
        <f t="shared" si="26"/>
        <v>101.36999999999989</v>
      </c>
      <c r="M82" s="26">
        <f t="shared" si="27"/>
        <v>0</v>
      </c>
      <c r="N82" s="26">
        <f t="shared" si="28"/>
        <v>101.36999999999989</v>
      </c>
      <c r="O82" s="30">
        <f>17.22+685.16</f>
        <v>702.38</v>
      </c>
      <c r="P82" s="28">
        <f t="shared" si="29"/>
        <v>760.25000000000011</v>
      </c>
      <c r="Q82" s="29">
        <f t="shared" si="33"/>
        <v>0.93518542199488497</v>
      </c>
      <c r="R82" s="29">
        <f t="shared" si="34"/>
        <v>0.72828005115089522</v>
      </c>
      <c r="S82" s="29">
        <f t="shared" si="35"/>
        <v>0.93518542199488497</v>
      </c>
    </row>
    <row r="83" spans="1:229" x14ac:dyDescent="0.25">
      <c r="A83" s="17" t="s">
        <v>139</v>
      </c>
      <c r="B83" s="18" t="s">
        <v>140</v>
      </c>
      <c r="C83" s="19">
        <v>3047</v>
      </c>
      <c r="D83" s="20">
        <v>0</v>
      </c>
      <c r="E83" s="21">
        <f t="shared" si="30"/>
        <v>3047</v>
      </c>
      <c r="F83" s="22">
        <f>4300-1800-550</f>
        <v>1950</v>
      </c>
      <c r="G83" s="23">
        <f t="shared" si="25"/>
        <v>4997</v>
      </c>
      <c r="H83" s="39">
        <f>7347-1800-550</f>
        <v>4997</v>
      </c>
      <c r="I83" s="25">
        <v>0</v>
      </c>
      <c r="J83" s="22">
        <f>139.29+4482.51+95.12</f>
        <v>4716.92</v>
      </c>
      <c r="K83" s="22">
        <f>139.29+4482.51+262.1</f>
        <v>4883.9000000000005</v>
      </c>
      <c r="L83" s="26">
        <f t="shared" si="26"/>
        <v>113.09999999999945</v>
      </c>
      <c r="M83" s="26">
        <f t="shared" si="27"/>
        <v>0</v>
      </c>
      <c r="N83" s="26">
        <f t="shared" si="28"/>
        <v>113.09999999999945</v>
      </c>
      <c r="O83" s="30">
        <f>271.97+2511.24</f>
        <v>2783.21</v>
      </c>
      <c r="P83" s="28">
        <f t="shared" si="29"/>
        <v>2100.6900000000005</v>
      </c>
      <c r="Q83" s="29">
        <f t="shared" si="33"/>
        <v>0.97736641985191131</v>
      </c>
      <c r="R83" s="29">
        <f t="shared" si="34"/>
        <v>0.94395037022213324</v>
      </c>
      <c r="S83" s="29">
        <f t="shared" si="35"/>
        <v>0.97736641985191131</v>
      </c>
    </row>
    <row r="84" spans="1:229" x14ac:dyDescent="0.25">
      <c r="A84" s="17" t="s">
        <v>141</v>
      </c>
      <c r="B84" s="18" t="s">
        <v>142</v>
      </c>
      <c r="C84" s="19">
        <v>500</v>
      </c>
      <c r="D84" s="20">
        <v>0</v>
      </c>
      <c r="E84" s="21">
        <f t="shared" si="30"/>
        <v>500</v>
      </c>
      <c r="F84" s="22">
        <f>-200+300</f>
        <v>100</v>
      </c>
      <c r="G84" s="23">
        <f t="shared" si="25"/>
        <v>600</v>
      </c>
      <c r="H84" s="39">
        <f>300+300</f>
        <v>600</v>
      </c>
      <c r="I84" s="25">
        <v>0</v>
      </c>
      <c r="J84" s="22">
        <f>8.6+258.94</f>
        <v>267.54000000000002</v>
      </c>
      <c r="K84" s="22">
        <f>8.6+521.09</f>
        <v>529.69000000000005</v>
      </c>
      <c r="L84" s="26">
        <f t="shared" si="26"/>
        <v>70.309999999999945</v>
      </c>
      <c r="M84" s="26">
        <f t="shared" si="27"/>
        <v>0</v>
      </c>
      <c r="N84" s="26">
        <f t="shared" si="28"/>
        <v>70.309999999999945</v>
      </c>
      <c r="O84" s="30">
        <v>0</v>
      </c>
      <c r="P84" s="28">
        <f t="shared" si="29"/>
        <v>529.69000000000005</v>
      </c>
      <c r="Q84" s="29">
        <f t="shared" si="33"/>
        <v>0.8828166666666668</v>
      </c>
      <c r="R84" s="29">
        <f t="shared" si="34"/>
        <v>0.44590000000000002</v>
      </c>
      <c r="S84" s="29">
        <f t="shared" si="35"/>
        <v>0.8828166666666668</v>
      </c>
    </row>
    <row r="85" spans="1:229" x14ac:dyDescent="0.25">
      <c r="A85" s="17" t="s">
        <v>143</v>
      </c>
      <c r="B85" s="18" t="s">
        <v>144</v>
      </c>
      <c r="C85" s="19">
        <v>1134</v>
      </c>
      <c r="D85" s="20">
        <v>0</v>
      </c>
      <c r="E85" s="21">
        <f t="shared" si="30"/>
        <v>1134</v>
      </c>
      <c r="F85" s="22">
        <f>1500-350</f>
        <v>1150</v>
      </c>
      <c r="G85" s="23">
        <f t="shared" si="25"/>
        <v>2284</v>
      </c>
      <c r="H85" s="39">
        <f>134+1500+650</f>
        <v>2284</v>
      </c>
      <c r="I85" s="25">
        <v>0</v>
      </c>
      <c r="J85" s="22">
        <f>378.53+44.25</f>
        <v>422.78</v>
      </c>
      <c r="K85" s="22">
        <f>378.53+166.22</f>
        <v>544.75</v>
      </c>
      <c r="L85" s="26">
        <f t="shared" si="26"/>
        <v>1739.25</v>
      </c>
      <c r="M85" s="26">
        <f t="shared" si="27"/>
        <v>0</v>
      </c>
      <c r="N85" s="26">
        <f t="shared" si="28"/>
        <v>1739.25</v>
      </c>
      <c r="O85" s="30">
        <f>5.35</f>
        <v>5.35</v>
      </c>
      <c r="P85" s="28">
        <f t="shared" si="29"/>
        <v>539.4</v>
      </c>
      <c r="Q85" s="29">
        <f t="shared" si="33"/>
        <v>0.23850700525394045</v>
      </c>
      <c r="R85" s="29">
        <f t="shared" si="34"/>
        <v>0.18510507880910682</v>
      </c>
      <c r="S85" s="29">
        <f t="shared" si="35"/>
        <v>0.23850700525394045</v>
      </c>
    </row>
    <row r="86" spans="1:229" x14ac:dyDescent="0.25">
      <c r="A86" s="17">
        <v>291</v>
      </c>
      <c r="B86" s="41" t="s">
        <v>145</v>
      </c>
      <c r="C86" s="19"/>
      <c r="D86" s="20"/>
      <c r="E86" s="21">
        <f t="shared" si="30"/>
        <v>0</v>
      </c>
      <c r="F86" s="22">
        <f>280-100</f>
        <v>180</v>
      </c>
      <c r="G86" s="23">
        <f t="shared" si="25"/>
        <v>180</v>
      </c>
      <c r="H86" s="39">
        <f>280-100</f>
        <v>180</v>
      </c>
      <c r="I86" s="25"/>
      <c r="J86" s="22">
        <f>170</f>
        <v>170</v>
      </c>
      <c r="K86" s="22">
        <f>170</f>
        <v>170</v>
      </c>
      <c r="L86" s="26">
        <f t="shared" si="26"/>
        <v>10</v>
      </c>
      <c r="M86" s="26"/>
      <c r="N86" s="26">
        <f t="shared" si="28"/>
        <v>10</v>
      </c>
      <c r="O86" s="30">
        <f>170</f>
        <v>170</v>
      </c>
      <c r="P86" s="28">
        <f t="shared" si="29"/>
        <v>0</v>
      </c>
      <c r="Q86" s="29">
        <f t="shared" si="33"/>
        <v>0.94444444444444442</v>
      </c>
      <c r="R86" s="29">
        <f t="shared" si="34"/>
        <v>0.94444444444444442</v>
      </c>
      <c r="S86" s="29">
        <f t="shared" si="35"/>
        <v>0.94444444444444442</v>
      </c>
    </row>
    <row r="87" spans="1:229" x14ac:dyDescent="0.25">
      <c r="A87" s="17">
        <v>292</v>
      </c>
      <c r="B87" s="18" t="s">
        <v>146</v>
      </c>
      <c r="C87" s="31">
        <v>0</v>
      </c>
      <c r="D87" s="20">
        <v>0</v>
      </c>
      <c r="E87" s="21">
        <f t="shared" si="30"/>
        <v>0</v>
      </c>
      <c r="F87" s="23">
        <f>399-399</f>
        <v>0</v>
      </c>
      <c r="G87" s="23">
        <f t="shared" si="25"/>
        <v>0</v>
      </c>
      <c r="H87" s="39">
        <f>399-399</f>
        <v>0</v>
      </c>
      <c r="I87" s="25">
        <v>0</v>
      </c>
      <c r="J87" s="22">
        <v>0</v>
      </c>
      <c r="K87" s="22">
        <v>0</v>
      </c>
      <c r="L87" s="26">
        <f t="shared" si="26"/>
        <v>0</v>
      </c>
      <c r="M87" s="26">
        <f>SUM(G87-H87)</f>
        <v>0</v>
      </c>
      <c r="N87" s="26">
        <f t="shared" si="28"/>
        <v>0</v>
      </c>
      <c r="O87" s="30">
        <v>0</v>
      </c>
      <c r="P87" s="28">
        <f t="shared" si="29"/>
        <v>0</v>
      </c>
      <c r="Q87" s="29">
        <v>0</v>
      </c>
      <c r="R87" s="29">
        <v>0</v>
      </c>
      <c r="S87" s="29">
        <v>0</v>
      </c>
    </row>
    <row r="88" spans="1:229" x14ac:dyDescent="0.25">
      <c r="A88" s="17">
        <v>293</v>
      </c>
      <c r="B88" s="41" t="s">
        <v>147</v>
      </c>
      <c r="C88" s="31"/>
      <c r="D88" s="20"/>
      <c r="E88" s="21">
        <f t="shared" si="30"/>
        <v>0</v>
      </c>
      <c r="F88" s="23">
        <f>562</f>
        <v>562</v>
      </c>
      <c r="G88" s="23">
        <f t="shared" si="25"/>
        <v>562</v>
      </c>
      <c r="H88" s="39">
        <f>562</f>
        <v>562</v>
      </c>
      <c r="I88" s="25"/>
      <c r="J88" s="22">
        <f>561.72</f>
        <v>561.72</v>
      </c>
      <c r="K88" s="22">
        <f>561.72</f>
        <v>561.72</v>
      </c>
      <c r="L88" s="26"/>
      <c r="M88" s="26"/>
      <c r="N88" s="26"/>
      <c r="O88" s="30">
        <f>561.72</f>
        <v>561.72</v>
      </c>
      <c r="P88" s="28">
        <f t="shared" si="29"/>
        <v>0</v>
      </c>
      <c r="Q88" s="29">
        <f>SUM(K88/H88*1)</f>
        <v>0.99950177935943063</v>
      </c>
      <c r="R88" s="29">
        <f>SUM(J88/G88*1)</f>
        <v>0.99950177935943063</v>
      </c>
      <c r="S88" s="29">
        <f>SUM(K88/G88*1)</f>
        <v>0.99950177935943063</v>
      </c>
    </row>
    <row r="89" spans="1:229" ht="15.75" thickBot="1" x14ac:dyDescent="0.3">
      <c r="A89" s="17">
        <v>297</v>
      </c>
      <c r="B89" s="18" t="s">
        <v>148</v>
      </c>
      <c r="C89" s="31">
        <v>0</v>
      </c>
      <c r="D89" s="20">
        <v>0</v>
      </c>
      <c r="E89" s="21">
        <f t="shared" si="30"/>
        <v>0</v>
      </c>
      <c r="F89" s="23">
        <f>0</f>
        <v>0</v>
      </c>
      <c r="G89" s="23">
        <f t="shared" si="25"/>
        <v>0</v>
      </c>
      <c r="H89" s="39">
        <v>0</v>
      </c>
      <c r="I89" s="25">
        <v>0</v>
      </c>
      <c r="J89" s="22">
        <v>0</v>
      </c>
      <c r="K89" s="22">
        <v>0</v>
      </c>
      <c r="L89" s="26">
        <f>SUM(H89-K89)</f>
        <v>0</v>
      </c>
      <c r="M89" s="26">
        <f>SUM(G89-H89)</f>
        <v>0</v>
      </c>
      <c r="N89" s="26">
        <f>SUM(-I89+L89+M89)</f>
        <v>0</v>
      </c>
      <c r="O89" s="30">
        <v>0</v>
      </c>
      <c r="P89" s="28">
        <f t="shared" si="29"/>
        <v>0</v>
      </c>
      <c r="Q89" s="29">
        <v>0</v>
      </c>
      <c r="R89" s="29">
        <v>0</v>
      </c>
      <c r="S89" s="29">
        <v>0</v>
      </c>
    </row>
    <row r="90" spans="1:229" s="2" customFormat="1" ht="12.75" thickBot="1" x14ac:dyDescent="0.25">
      <c r="A90" s="33">
        <v>3</v>
      </c>
      <c r="B90" s="34" t="s">
        <v>149</v>
      </c>
      <c r="C90" s="35">
        <f>SUM(C91:C97)</f>
        <v>0</v>
      </c>
      <c r="D90" s="36">
        <f>SUM(D91:D97)</f>
        <v>0</v>
      </c>
      <c r="E90" s="35">
        <f>SUM(E91:E97)</f>
        <v>0</v>
      </c>
      <c r="F90" s="36">
        <f>2370</f>
        <v>2370</v>
      </c>
      <c r="G90" s="36">
        <f t="shared" si="25"/>
        <v>2370</v>
      </c>
      <c r="H90" s="36">
        <f t="shared" ref="H90:P90" si="36">SUM(H91:H97)</f>
        <v>2370</v>
      </c>
      <c r="I90" s="36">
        <f t="shared" si="36"/>
        <v>0</v>
      </c>
      <c r="J90" s="36">
        <f t="shared" si="36"/>
        <v>2060.16</v>
      </c>
      <c r="K90" s="36">
        <f t="shared" si="36"/>
        <v>2367.98</v>
      </c>
      <c r="L90" s="36">
        <f t="shared" si="36"/>
        <v>2.0199999999999818</v>
      </c>
      <c r="M90" s="36">
        <f t="shared" si="36"/>
        <v>0</v>
      </c>
      <c r="N90" s="36">
        <f t="shared" si="36"/>
        <v>2.0199999999999818</v>
      </c>
      <c r="O90" s="36">
        <f t="shared" si="36"/>
        <v>0</v>
      </c>
      <c r="P90" s="42">
        <f t="shared" si="36"/>
        <v>2367.98</v>
      </c>
      <c r="Q90" s="43">
        <f>SUM(K90/H90*1)</f>
        <v>0.99914767932489457</v>
      </c>
      <c r="R90" s="44">
        <f>SUM(J90/G90*1)</f>
        <v>0.86926582278481002</v>
      </c>
      <c r="S90" s="45">
        <f>SUM(K90/G90*1)</f>
        <v>0.99914767932489457</v>
      </c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</row>
    <row r="91" spans="1:229" s="2" customFormat="1" x14ac:dyDescent="0.25">
      <c r="A91" s="17" t="s">
        <v>150</v>
      </c>
      <c r="B91" s="18" t="s">
        <v>151</v>
      </c>
      <c r="C91" s="46">
        <v>0</v>
      </c>
      <c r="D91" s="20">
        <v>0</v>
      </c>
      <c r="E91" s="47">
        <f>C91+D91</f>
        <v>0</v>
      </c>
      <c r="F91" s="48">
        <v>0</v>
      </c>
      <c r="G91" s="23">
        <f t="shared" si="25"/>
        <v>0</v>
      </c>
      <c r="H91" s="26">
        <f t="shared" ref="H91:H97" si="37">SUM(D91-G91)</f>
        <v>0</v>
      </c>
      <c r="I91" s="25">
        <v>0</v>
      </c>
      <c r="J91" s="22">
        <v>0</v>
      </c>
      <c r="K91" s="22">
        <v>0</v>
      </c>
      <c r="L91" s="26">
        <f t="shared" ref="L91:L97" si="38">SUM(H91-K91)</f>
        <v>0</v>
      </c>
      <c r="M91" s="26">
        <f t="shared" ref="M91:M97" si="39">SUM(G91-H91)</f>
        <v>0</v>
      </c>
      <c r="N91" s="26">
        <f t="shared" ref="N91:N97" si="40">SUM(-I91+L91+M91)</f>
        <v>0</v>
      </c>
      <c r="O91" s="30">
        <v>0</v>
      </c>
      <c r="P91" s="28">
        <f t="shared" ref="P91:P97" si="41">K91-O91</f>
        <v>0</v>
      </c>
      <c r="Q91" s="29">
        <v>0</v>
      </c>
      <c r="R91" s="29">
        <v>0</v>
      </c>
      <c r="S91" s="29">
        <v>0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229" x14ac:dyDescent="0.25">
      <c r="A92" s="17">
        <v>314</v>
      </c>
      <c r="B92" s="18" t="s">
        <v>152</v>
      </c>
      <c r="C92" s="46">
        <v>0</v>
      </c>
      <c r="D92" s="20">
        <v>0</v>
      </c>
      <c r="E92" s="47">
        <f t="shared" ref="E92:E97" si="42">C92+D92</f>
        <v>0</v>
      </c>
      <c r="F92" s="48">
        <v>0</v>
      </c>
      <c r="G92" s="23">
        <f t="shared" si="25"/>
        <v>0</v>
      </c>
      <c r="H92" s="26">
        <f t="shared" si="37"/>
        <v>0</v>
      </c>
      <c r="I92" s="25">
        <v>0</v>
      </c>
      <c r="J92" s="22">
        <v>0</v>
      </c>
      <c r="K92" s="22">
        <v>0</v>
      </c>
      <c r="L92" s="26">
        <f t="shared" si="38"/>
        <v>0</v>
      </c>
      <c r="M92" s="26">
        <f t="shared" si="39"/>
        <v>0</v>
      </c>
      <c r="N92" s="26">
        <f t="shared" si="40"/>
        <v>0</v>
      </c>
      <c r="O92" s="30">
        <v>0</v>
      </c>
      <c r="P92" s="28">
        <f t="shared" si="41"/>
        <v>0</v>
      </c>
      <c r="Q92" s="29">
        <v>0</v>
      </c>
      <c r="R92" s="29">
        <v>0</v>
      </c>
      <c r="S92" s="29">
        <v>0</v>
      </c>
    </row>
    <row r="93" spans="1:229" x14ac:dyDescent="0.25">
      <c r="A93" s="17">
        <v>320</v>
      </c>
      <c r="B93" s="18" t="s">
        <v>153</v>
      </c>
      <c r="C93" s="46">
        <v>0</v>
      </c>
      <c r="D93" s="20">
        <v>0</v>
      </c>
      <c r="E93" s="47">
        <f t="shared" si="42"/>
        <v>0</v>
      </c>
      <c r="F93" s="48">
        <v>0</v>
      </c>
      <c r="G93" s="23">
        <f t="shared" si="25"/>
        <v>0</v>
      </c>
      <c r="H93" s="26">
        <f t="shared" si="37"/>
        <v>0</v>
      </c>
      <c r="I93" s="25">
        <v>0</v>
      </c>
      <c r="J93" s="22">
        <v>0</v>
      </c>
      <c r="K93" s="22">
        <v>0</v>
      </c>
      <c r="L93" s="26">
        <f t="shared" si="38"/>
        <v>0</v>
      </c>
      <c r="M93" s="26">
        <f t="shared" si="39"/>
        <v>0</v>
      </c>
      <c r="N93" s="26">
        <f t="shared" si="40"/>
        <v>0</v>
      </c>
      <c r="O93" s="30">
        <v>0</v>
      </c>
      <c r="P93" s="28">
        <f t="shared" si="41"/>
        <v>0</v>
      </c>
      <c r="Q93" s="29">
        <v>0</v>
      </c>
      <c r="R93" s="29">
        <v>0</v>
      </c>
      <c r="S93" s="29">
        <v>0</v>
      </c>
    </row>
    <row r="94" spans="1:229" x14ac:dyDescent="0.25">
      <c r="A94" s="17" t="s">
        <v>154</v>
      </c>
      <c r="B94" s="18" t="s">
        <v>155</v>
      </c>
      <c r="C94" s="46">
        <v>0</v>
      </c>
      <c r="D94" s="20">
        <v>0</v>
      </c>
      <c r="E94" s="47">
        <f t="shared" si="42"/>
        <v>0</v>
      </c>
      <c r="F94" s="48">
        <v>0</v>
      </c>
      <c r="G94" s="23">
        <f t="shared" si="25"/>
        <v>0</v>
      </c>
      <c r="H94" s="26">
        <f t="shared" si="37"/>
        <v>0</v>
      </c>
      <c r="I94" s="25">
        <v>0</v>
      </c>
      <c r="J94" s="22">
        <v>0</v>
      </c>
      <c r="K94" s="22">
        <v>0</v>
      </c>
      <c r="L94" s="26">
        <f t="shared" si="38"/>
        <v>0</v>
      </c>
      <c r="M94" s="26">
        <f t="shared" si="39"/>
        <v>0</v>
      </c>
      <c r="N94" s="26">
        <f t="shared" si="40"/>
        <v>0</v>
      </c>
      <c r="O94" s="30">
        <v>0</v>
      </c>
      <c r="P94" s="28">
        <f t="shared" si="41"/>
        <v>0</v>
      </c>
      <c r="Q94" s="29">
        <v>0</v>
      </c>
      <c r="R94" s="29">
        <v>0</v>
      </c>
      <c r="S94" s="29">
        <v>0</v>
      </c>
    </row>
    <row r="95" spans="1:229" x14ac:dyDescent="0.25">
      <c r="A95" s="17" t="s">
        <v>156</v>
      </c>
      <c r="B95" s="18" t="s">
        <v>157</v>
      </c>
      <c r="C95" s="46">
        <v>0</v>
      </c>
      <c r="D95" s="20">
        <v>0</v>
      </c>
      <c r="E95" s="47">
        <f t="shared" si="42"/>
        <v>0</v>
      </c>
      <c r="F95" s="48">
        <f>2370</f>
        <v>2370</v>
      </c>
      <c r="G95" s="23">
        <f t="shared" si="25"/>
        <v>2370</v>
      </c>
      <c r="H95" s="26">
        <f>-2370+4740</f>
        <v>2370</v>
      </c>
      <c r="I95" s="25">
        <v>0</v>
      </c>
      <c r="J95" s="22">
        <f>2060.16</f>
        <v>2060.16</v>
      </c>
      <c r="K95" s="22">
        <f>2367.98</f>
        <v>2367.98</v>
      </c>
      <c r="L95" s="26">
        <f t="shared" si="38"/>
        <v>2.0199999999999818</v>
      </c>
      <c r="M95" s="26">
        <f t="shared" si="39"/>
        <v>0</v>
      </c>
      <c r="N95" s="26">
        <f t="shared" si="40"/>
        <v>2.0199999999999818</v>
      </c>
      <c r="O95" s="30">
        <v>0</v>
      </c>
      <c r="P95" s="28">
        <f t="shared" si="41"/>
        <v>2367.98</v>
      </c>
      <c r="Q95" s="29">
        <f t="shared" ref="Q95" si="43">SUM(K95/H95*1)</f>
        <v>0.99914767932489457</v>
      </c>
      <c r="R95" s="29">
        <f t="shared" ref="R95" si="44">SUM(J95/G95*1)</f>
        <v>0.86926582278481002</v>
      </c>
      <c r="S95" s="29">
        <f t="shared" ref="S95" si="45">SUM(K95/G95*1)</f>
        <v>0.99914767932489457</v>
      </c>
    </row>
    <row r="96" spans="1:229" x14ac:dyDescent="0.25">
      <c r="A96" s="17" t="s">
        <v>158</v>
      </c>
      <c r="B96" s="18" t="s">
        <v>149</v>
      </c>
      <c r="C96" s="46">
        <v>0</v>
      </c>
      <c r="D96" s="20">
        <v>0</v>
      </c>
      <c r="E96" s="47">
        <f t="shared" si="42"/>
        <v>0</v>
      </c>
      <c r="F96" s="48">
        <v>0</v>
      </c>
      <c r="G96" s="23">
        <f t="shared" si="25"/>
        <v>0</v>
      </c>
      <c r="H96" s="26">
        <f t="shared" si="37"/>
        <v>0</v>
      </c>
      <c r="I96" s="25">
        <v>0</v>
      </c>
      <c r="J96" s="22">
        <v>0</v>
      </c>
      <c r="K96" s="22">
        <v>0</v>
      </c>
      <c r="L96" s="26">
        <f t="shared" si="38"/>
        <v>0</v>
      </c>
      <c r="M96" s="26">
        <f t="shared" si="39"/>
        <v>0</v>
      </c>
      <c r="N96" s="26">
        <f t="shared" si="40"/>
        <v>0</v>
      </c>
      <c r="O96" s="30">
        <v>0</v>
      </c>
      <c r="P96" s="28">
        <f t="shared" si="41"/>
        <v>0</v>
      </c>
      <c r="Q96" s="29">
        <v>0</v>
      </c>
      <c r="R96" s="29">
        <v>0</v>
      </c>
      <c r="S96" s="29">
        <v>0</v>
      </c>
    </row>
    <row r="97" spans="1:36" ht="15.75" thickBot="1" x14ac:dyDescent="0.3">
      <c r="A97" s="17">
        <v>380</v>
      </c>
      <c r="B97" s="18" t="s">
        <v>159</v>
      </c>
      <c r="C97" s="46">
        <v>0</v>
      </c>
      <c r="D97" s="20">
        <v>0</v>
      </c>
      <c r="E97" s="47">
        <f t="shared" si="42"/>
        <v>0</v>
      </c>
      <c r="F97" s="49">
        <v>0</v>
      </c>
      <c r="G97" s="23">
        <f t="shared" si="25"/>
        <v>0</v>
      </c>
      <c r="H97" s="26">
        <f t="shared" si="37"/>
        <v>0</v>
      </c>
      <c r="I97" s="25">
        <v>0</v>
      </c>
      <c r="J97" s="22">
        <v>0</v>
      </c>
      <c r="K97" s="22">
        <v>0</v>
      </c>
      <c r="L97" s="26">
        <f t="shared" si="38"/>
        <v>0</v>
      </c>
      <c r="M97" s="26">
        <f t="shared" si="39"/>
        <v>0</v>
      </c>
      <c r="N97" s="26">
        <f t="shared" si="40"/>
        <v>0</v>
      </c>
      <c r="O97" s="30">
        <v>0</v>
      </c>
      <c r="P97" s="28">
        <f t="shared" si="41"/>
        <v>0</v>
      </c>
      <c r="Q97" s="29">
        <v>0</v>
      </c>
      <c r="R97" s="29">
        <v>0</v>
      </c>
      <c r="S97" s="29">
        <v>0</v>
      </c>
    </row>
    <row r="98" spans="1:36" ht="15.75" thickBot="1" x14ac:dyDescent="0.3">
      <c r="A98" s="50">
        <v>6</v>
      </c>
      <c r="B98" s="51" t="s">
        <v>160</v>
      </c>
      <c r="C98" s="52">
        <f>SUM(C100:C104)</f>
        <v>300000</v>
      </c>
      <c r="D98" s="53">
        <f>SUM(D100:D103)</f>
        <v>0</v>
      </c>
      <c r="E98" s="54">
        <f>SUM(E100:E104)</f>
        <v>300000</v>
      </c>
      <c r="F98" s="55">
        <f>SUM(F99:F104)</f>
        <v>-60823</v>
      </c>
      <c r="G98" s="56">
        <f t="shared" si="25"/>
        <v>239177</v>
      </c>
      <c r="H98" s="57">
        <f>SUM(H99:H104)</f>
        <v>239177</v>
      </c>
      <c r="I98" s="57">
        <f>SUM(I100:I103)</f>
        <v>0</v>
      </c>
      <c r="J98" s="57">
        <f>SUM(J99:J104)</f>
        <v>108105</v>
      </c>
      <c r="K98" s="57">
        <f>SUM(K99:K104)</f>
        <v>140392</v>
      </c>
      <c r="L98" s="57">
        <f>SUM(L100:L104)</f>
        <v>98785</v>
      </c>
      <c r="M98" s="57">
        <f>SUM(M100:M104)</f>
        <v>0</v>
      </c>
      <c r="N98" s="57">
        <f>SUM(N100:N104)</f>
        <v>98785</v>
      </c>
      <c r="O98" s="53">
        <f>SUM(O100:O103)</f>
        <v>30000</v>
      </c>
      <c r="P98" s="58">
        <f>SUM(P100:P104)</f>
        <v>110392</v>
      </c>
      <c r="Q98" s="43">
        <f>SUM(K98/H98*1)</f>
        <v>0.58697951726127517</v>
      </c>
      <c r="R98" s="59">
        <f>SUM(J98/G98*1)</f>
        <v>0.45198744026390497</v>
      </c>
      <c r="S98" s="60">
        <f>SUM(K98/G98*1)</f>
        <v>0.58697951726127517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2" customFormat="1" ht="22.5" customHeight="1" x14ac:dyDescent="0.25">
      <c r="A99" s="17">
        <v>612</v>
      </c>
      <c r="B99" s="18" t="s">
        <v>161</v>
      </c>
      <c r="C99" s="31">
        <v>0</v>
      </c>
      <c r="D99" s="61">
        <v>0</v>
      </c>
      <c r="E99" s="47">
        <f>C99+D99</f>
        <v>0</v>
      </c>
      <c r="F99" s="62">
        <v>0</v>
      </c>
      <c r="G99" s="23">
        <f t="shared" si="25"/>
        <v>0</v>
      </c>
      <c r="H99" s="39">
        <v>0</v>
      </c>
      <c r="I99" s="25">
        <v>0</v>
      </c>
      <c r="J99" s="22">
        <v>0</v>
      </c>
      <c r="K99" s="22">
        <v>0</v>
      </c>
      <c r="L99" s="55">
        <f t="shared" ref="L99:L104" si="46">SUM(H99-K99)</f>
        <v>0</v>
      </c>
      <c r="M99" s="26">
        <f t="shared" ref="M99:M104" si="47">SUM(G99-H99)</f>
        <v>0</v>
      </c>
      <c r="N99" s="55">
        <f t="shared" ref="N99:N104" si="48">SUM(-I99+L99+M99)</f>
        <v>0</v>
      </c>
      <c r="O99" s="30">
        <v>0</v>
      </c>
      <c r="P99" s="28">
        <f t="shared" ref="P99:P104" si="49">K99-O99</f>
        <v>0</v>
      </c>
      <c r="Q99" s="29">
        <v>0</v>
      </c>
      <c r="R99" s="29">
        <v>0</v>
      </c>
      <c r="S99" s="29">
        <v>0</v>
      </c>
    </row>
    <row r="100" spans="1:36" s="2" customFormat="1" x14ac:dyDescent="0.25">
      <c r="A100" s="17" t="s">
        <v>162</v>
      </c>
      <c r="B100" s="18" t="s">
        <v>163</v>
      </c>
      <c r="C100" s="31">
        <v>0</v>
      </c>
      <c r="D100" s="20">
        <v>0</v>
      </c>
      <c r="E100" s="47">
        <f t="shared" ref="E100:E104" si="50">C100+D100</f>
        <v>0</v>
      </c>
      <c r="F100" s="23">
        <f>5005+2200</f>
        <v>7205</v>
      </c>
      <c r="G100" s="23">
        <f t="shared" si="25"/>
        <v>7205</v>
      </c>
      <c r="H100" s="39">
        <f>5005+2200</f>
        <v>7205</v>
      </c>
      <c r="I100" s="25">
        <v>0</v>
      </c>
      <c r="J100" s="22">
        <f>5005+2200</f>
        <v>7205</v>
      </c>
      <c r="K100" s="22">
        <f>5005+2200</f>
        <v>7205</v>
      </c>
      <c r="L100" s="26">
        <f t="shared" si="46"/>
        <v>0</v>
      </c>
      <c r="M100" s="26">
        <f t="shared" si="47"/>
        <v>0</v>
      </c>
      <c r="N100" s="55">
        <f t="shared" si="48"/>
        <v>0</v>
      </c>
      <c r="O100" s="30">
        <v>0</v>
      </c>
      <c r="P100" s="28">
        <f t="shared" si="49"/>
        <v>7205</v>
      </c>
      <c r="Q100" s="29">
        <f>SUM(K100/H100*1)</f>
        <v>1</v>
      </c>
      <c r="R100" s="29">
        <f>SUM(J100/G100*1)</f>
        <v>1</v>
      </c>
      <c r="S100" s="29">
        <f>SUM(K100/G100*1)</f>
        <v>1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25">
      <c r="A101" s="17" t="s">
        <v>164</v>
      </c>
      <c r="B101" s="18" t="s">
        <v>165</v>
      </c>
      <c r="C101" s="31">
        <v>0</v>
      </c>
      <c r="D101" s="20">
        <v>0</v>
      </c>
      <c r="E101" s="47">
        <f t="shared" si="50"/>
        <v>0</v>
      </c>
      <c r="F101" s="23">
        <f>1250-350</f>
        <v>900</v>
      </c>
      <c r="G101" s="23">
        <f t="shared" si="25"/>
        <v>900</v>
      </c>
      <c r="H101" s="39">
        <f>1250-350</f>
        <v>900</v>
      </c>
      <c r="I101" s="25">
        <v>0</v>
      </c>
      <c r="J101" s="22">
        <f>900</f>
        <v>900</v>
      </c>
      <c r="K101" s="22">
        <f>900</f>
        <v>900</v>
      </c>
      <c r="L101" s="26">
        <f t="shared" si="46"/>
        <v>0</v>
      </c>
      <c r="M101" s="26">
        <f t="shared" si="47"/>
        <v>0</v>
      </c>
      <c r="N101" s="55">
        <f t="shared" si="48"/>
        <v>0</v>
      </c>
      <c r="O101" s="30">
        <v>0</v>
      </c>
      <c r="P101" s="28">
        <f t="shared" si="49"/>
        <v>900</v>
      </c>
      <c r="Q101" s="29">
        <f>SUM(K101/H101*1)</f>
        <v>1</v>
      </c>
      <c r="R101" s="29">
        <f>SUM(J101/G101*1)</f>
        <v>1</v>
      </c>
      <c r="S101" s="29">
        <f>SUM(K101/G101*1)</f>
        <v>1</v>
      </c>
    </row>
    <row r="102" spans="1:36" x14ac:dyDescent="0.25">
      <c r="A102" s="17">
        <v>669</v>
      </c>
      <c r="B102" s="18" t="s">
        <v>166</v>
      </c>
      <c r="C102" s="19">
        <v>100000</v>
      </c>
      <c r="D102" s="20">
        <v>0</v>
      </c>
      <c r="E102" s="47">
        <f t="shared" si="50"/>
        <v>100000</v>
      </c>
      <c r="F102" s="22">
        <v>0</v>
      </c>
      <c r="G102" s="23">
        <f t="shared" si="25"/>
        <v>100000</v>
      </c>
      <c r="H102" s="39">
        <f>100000</f>
        <v>100000</v>
      </c>
      <c r="I102" s="25">
        <v>0</v>
      </c>
      <c r="J102" s="22">
        <f>30000+20000</f>
        <v>50000</v>
      </c>
      <c r="K102" s="22">
        <f>50000</f>
        <v>50000</v>
      </c>
      <c r="L102" s="26">
        <f t="shared" si="46"/>
        <v>50000</v>
      </c>
      <c r="M102" s="26">
        <f t="shared" si="47"/>
        <v>0</v>
      </c>
      <c r="N102" s="55">
        <f t="shared" si="48"/>
        <v>50000</v>
      </c>
      <c r="O102" s="30">
        <f>30000</f>
        <v>30000</v>
      </c>
      <c r="P102" s="28">
        <f t="shared" si="49"/>
        <v>20000</v>
      </c>
      <c r="Q102" s="29">
        <f>SUM(K102/H102*1)</f>
        <v>0.5</v>
      </c>
      <c r="R102" s="29">
        <f>SUM(J102/G102*1)</f>
        <v>0.5</v>
      </c>
      <c r="S102" s="29">
        <f>SUM(K102/G102*1)</f>
        <v>0.5</v>
      </c>
    </row>
    <row r="103" spans="1:36" x14ac:dyDescent="0.25">
      <c r="A103" s="17">
        <v>692</v>
      </c>
      <c r="B103" s="18" t="s">
        <v>167</v>
      </c>
      <c r="C103" s="31">
        <v>0</v>
      </c>
      <c r="D103" s="20">
        <v>0</v>
      </c>
      <c r="E103" s="47">
        <f t="shared" si="50"/>
        <v>0</v>
      </c>
      <c r="F103" s="23">
        <v>0</v>
      </c>
      <c r="G103" s="23">
        <f t="shared" si="25"/>
        <v>0</v>
      </c>
      <c r="H103" s="39">
        <v>0</v>
      </c>
      <c r="I103" s="25">
        <v>0</v>
      </c>
      <c r="J103" s="22">
        <v>0</v>
      </c>
      <c r="K103" s="22">
        <v>0</v>
      </c>
      <c r="L103" s="26">
        <f t="shared" si="46"/>
        <v>0</v>
      </c>
      <c r="M103" s="26">
        <f t="shared" si="47"/>
        <v>0</v>
      </c>
      <c r="N103" s="55">
        <f t="shared" si="48"/>
        <v>0</v>
      </c>
      <c r="O103" s="30">
        <v>0</v>
      </c>
      <c r="P103" s="28">
        <f t="shared" si="49"/>
        <v>0</v>
      </c>
      <c r="Q103" s="29">
        <v>0</v>
      </c>
      <c r="R103" s="29">
        <v>0</v>
      </c>
      <c r="S103" s="29">
        <v>0</v>
      </c>
    </row>
    <row r="104" spans="1:36" ht="15.75" thickBot="1" x14ac:dyDescent="0.3">
      <c r="A104" s="17">
        <v>697</v>
      </c>
      <c r="B104" s="18" t="s">
        <v>168</v>
      </c>
      <c r="C104" s="19">
        <v>200000</v>
      </c>
      <c r="D104" s="20">
        <v>0</v>
      </c>
      <c r="E104" s="47">
        <f t="shared" si="50"/>
        <v>200000</v>
      </c>
      <c r="F104" s="63">
        <f>-117713+48785</f>
        <v>-68928</v>
      </c>
      <c r="G104" s="23">
        <f t="shared" si="25"/>
        <v>131072</v>
      </c>
      <c r="H104" s="39">
        <f>82287+48785</f>
        <v>131072</v>
      </c>
      <c r="I104" s="25">
        <v>0</v>
      </c>
      <c r="J104" s="22">
        <f>50000</f>
        <v>50000</v>
      </c>
      <c r="K104" s="22">
        <f>82287</f>
        <v>82287</v>
      </c>
      <c r="L104" s="26">
        <f t="shared" si="46"/>
        <v>48785</v>
      </c>
      <c r="M104" s="26">
        <f t="shared" si="47"/>
        <v>0</v>
      </c>
      <c r="N104" s="55">
        <f t="shared" si="48"/>
        <v>48785</v>
      </c>
      <c r="O104" s="30">
        <v>0</v>
      </c>
      <c r="P104" s="28">
        <f t="shared" si="49"/>
        <v>82287</v>
      </c>
      <c r="Q104" s="29">
        <f>SUM(K104/H104*1)</f>
        <v>0.62779998779296875</v>
      </c>
      <c r="R104" s="29">
        <f>SUM(J104/G104*1)</f>
        <v>0.3814697265625</v>
      </c>
      <c r="S104" s="29">
        <f>SUM(K104/G104*1)</f>
        <v>0.62779998779296875</v>
      </c>
    </row>
    <row r="105" spans="1:36" ht="15.75" thickBot="1" x14ac:dyDescent="0.3">
      <c r="A105" s="64"/>
      <c r="B105" s="65" t="s">
        <v>169</v>
      </c>
      <c r="C105" s="66">
        <f>C106+C108</f>
        <v>50000</v>
      </c>
      <c r="D105" s="67">
        <v>0</v>
      </c>
      <c r="E105" s="54">
        <f>E106+E108</f>
        <v>50000</v>
      </c>
      <c r="F105" s="68">
        <f>SUM(F106+F108)</f>
        <v>0</v>
      </c>
      <c r="G105" s="69">
        <f t="shared" si="25"/>
        <v>50000</v>
      </c>
      <c r="H105" s="70">
        <f>SUM(H106+H108)</f>
        <v>50000</v>
      </c>
      <c r="I105" s="70">
        <v>0</v>
      </c>
      <c r="J105" s="14">
        <f>SUM(J106+J108)</f>
        <v>46643.98</v>
      </c>
      <c r="K105" s="71">
        <f>SUM(K106+K108)</f>
        <v>49315.48</v>
      </c>
      <c r="L105" s="3">
        <f>SUM(L106+L108)</f>
        <v>684.51999999999543</v>
      </c>
      <c r="M105" s="57">
        <f>M106+M108</f>
        <v>0</v>
      </c>
      <c r="N105" s="57">
        <f>SUM(N106+N108)</f>
        <v>684.51999999999543</v>
      </c>
      <c r="O105" s="53">
        <f>SUM(O106+O108)</f>
        <v>35438.400000000001</v>
      </c>
      <c r="P105" s="72">
        <f>SUM(P106+P108)</f>
        <v>13877.080000000004</v>
      </c>
      <c r="Q105" s="4">
        <f>SUM(K105/H105*1)</f>
        <v>0.98630960000000001</v>
      </c>
      <c r="R105" s="59">
        <f>SUM(J105/G105*1)</f>
        <v>0.93287960000000003</v>
      </c>
      <c r="S105" s="73">
        <f>SUM(K105/G105*1)</f>
        <v>0.98630960000000001</v>
      </c>
    </row>
    <row r="106" spans="1:36" x14ac:dyDescent="0.25">
      <c r="A106" s="50">
        <v>2</v>
      </c>
      <c r="B106" s="51" t="s">
        <v>96</v>
      </c>
      <c r="C106" s="52">
        <v>0</v>
      </c>
      <c r="D106" s="57">
        <v>0</v>
      </c>
      <c r="E106" s="74">
        <v>0</v>
      </c>
      <c r="F106" s="72">
        <v>0</v>
      </c>
      <c r="G106" s="56">
        <f>G107</f>
        <v>0</v>
      </c>
      <c r="H106" s="57">
        <f>H107</f>
        <v>0</v>
      </c>
      <c r="I106" s="57">
        <v>0</v>
      </c>
      <c r="J106" s="57">
        <f>J107</f>
        <v>0</v>
      </c>
      <c r="K106" s="57">
        <f>K107</f>
        <v>0</v>
      </c>
      <c r="L106" s="57">
        <f>SUM(H106-K106)</f>
        <v>0</v>
      </c>
      <c r="M106" s="57">
        <v>0</v>
      </c>
      <c r="N106" s="57">
        <f>SUM(-I106+L106+M106)</f>
        <v>0</v>
      </c>
      <c r="O106" s="53">
        <f>O107</f>
        <v>0</v>
      </c>
      <c r="P106" s="72">
        <f>P107</f>
        <v>0</v>
      </c>
      <c r="Q106" s="57">
        <f>Q107</f>
        <v>0</v>
      </c>
      <c r="R106" s="73">
        <f>R107</f>
        <v>0</v>
      </c>
      <c r="S106" s="73">
        <v>0</v>
      </c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75" t="s">
        <v>131</v>
      </c>
      <c r="B107" s="18" t="s">
        <v>132</v>
      </c>
      <c r="C107" s="76">
        <v>0</v>
      </c>
      <c r="D107" s="77">
        <v>0</v>
      </c>
      <c r="E107" s="78">
        <f>C107+D107</f>
        <v>0</v>
      </c>
      <c r="F107" s="77">
        <v>0</v>
      </c>
      <c r="G107" s="77">
        <v>0</v>
      </c>
      <c r="H107" s="79">
        <v>0</v>
      </c>
      <c r="I107" s="25">
        <v>0</v>
      </c>
      <c r="J107" s="22">
        <v>0</v>
      </c>
      <c r="K107" s="72">
        <v>0</v>
      </c>
      <c r="L107" s="77">
        <f>SUM(H107-K107)</f>
        <v>0</v>
      </c>
      <c r="M107" s="6">
        <v>0</v>
      </c>
      <c r="N107" s="77">
        <f>SUM(-I107+L107+M107)</f>
        <v>0</v>
      </c>
      <c r="O107" s="80">
        <v>0</v>
      </c>
      <c r="P107" s="28">
        <f>K107-O107</f>
        <v>0</v>
      </c>
      <c r="Q107" s="29">
        <v>0</v>
      </c>
      <c r="R107" s="29">
        <v>0</v>
      </c>
      <c r="S107" s="29">
        <v>0</v>
      </c>
    </row>
    <row r="108" spans="1:36" x14ac:dyDescent="0.25">
      <c r="A108" s="50">
        <v>3</v>
      </c>
      <c r="B108" s="51" t="s">
        <v>149</v>
      </c>
      <c r="C108" s="52">
        <f>SUM(C110:C115)</f>
        <v>50000</v>
      </c>
      <c r="D108" s="57">
        <v>0</v>
      </c>
      <c r="E108" s="57">
        <f>SUM(E110:E115)</f>
        <v>50000</v>
      </c>
      <c r="F108" s="77">
        <f>SUM(F109:F116)</f>
        <v>0</v>
      </c>
      <c r="G108" s="77">
        <f>SUM(G109:G116)</f>
        <v>50000</v>
      </c>
      <c r="H108" s="81">
        <f>SUM(H109:H116)</f>
        <v>50000</v>
      </c>
      <c r="I108" s="81">
        <v>0</v>
      </c>
      <c r="J108" s="57">
        <f>SUM(J109:J115)</f>
        <v>46643.98</v>
      </c>
      <c r="K108" s="57">
        <f>SUM(K109:K115)</f>
        <v>49315.48</v>
      </c>
      <c r="L108" s="57">
        <f>SUM(L109:L116)</f>
        <v>684.51999999999543</v>
      </c>
      <c r="M108" s="57">
        <f>SUM(M110:M115)</f>
        <v>0</v>
      </c>
      <c r="N108" s="57">
        <f>SUM(N109:N116)</f>
        <v>684.51999999999543</v>
      </c>
      <c r="O108" s="53">
        <f>SUM(O109:O115)</f>
        <v>35438.400000000001</v>
      </c>
      <c r="P108" s="72">
        <f>SUM(P109:P115)</f>
        <v>13877.080000000004</v>
      </c>
      <c r="Q108" s="82">
        <f>SUM(K108/H108*1)</f>
        <v>0.98630960000000001</v>
      </c>
      <c r="R108" s="73">
        <f>SUM(J108/G108*1)</f>
        <v>0.93287960000000003</v>
      </c>
      <c r="S108" s="73">
        <f>SUM(K108/G108*1)</f>
        <v>0.98630960000000001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17" t="s">
        <v>150</v>
      </c>
      <c r="B109" s="18" t="s">
        <v>151</v>
      </c>
      <c r="C109" s="46">
        <v>0</v>
      </c>
      <c r="D109" s="83">
        <v>0</v>
      </c>
      <c r="E109" s="47">
        <f>C109+D109</f>
        <v>0</v>
      </c>
      <c r="F109" s="84">
        <f>1700-362</f>
        <v>1338</v>
      </c>
      <c r="G109" s="84">
        <f t="shared" ref="G109:G116" si="51">SUM(E109+F109)</f>
        <v>1338</v>
      </c>
      <c r="H109" s="85">
        <f>1700-362</f>
        <v>1338</v>
      </c>
      <c r="I109" s="62">
        <v>0</v>
      </c>
      <c r="J109" s="86">
        <f>1337.5</f>
        <v>1337.5</v>
      </c>
      <c r="K109" s="22">
        <f>1337.5</f>
        <v>1337.5</v>
      </c>
      <c r="L109" s="48">
        <f t="shared" ref="L109:L116" si="52">SUM(H109-K109)</f>
        <v>0.5</v>
      </c>
      <c r="M109" s="87">
        <f>SUM(G109-H109)</f>
        <v>0</v>
      </c>
      <c r="N109" s="84">
        <f t="shared" ref="N109:N116" si="53">SUM(-I109+L109+M109)</f>
        <v>0.5</v>
      </c>
      <c r="O109" s="88">
        <v>0</v>
      </c>
      <c r="P109" s="89">
        <f t="shared" ref="P109:P116" si="54">K109-O109</f>
        <v>1337.5</v>
      </c>
      <c r="Q109" s="90">
        <f>SUM(K109/H109*1)</f>
        <v>0.99962630792227203</v>
      </c>
      <c r="R109" s="82">
        <f>SUM(J109/G109*1)</f>
        <v>0.99962630792227203</v>
      </c>
      <c r="S109" s="91">
        <f>SUM(K109/G109*1)</f>
        <v>0.99962630792227203</v>
      </c>
    </row>
    <row r="110" spans="1:36" x14ac:dyDescent="0.25">
      <c r="A110" s="17">
        <v>314</v>
      </c>
      <c r="B110" s="18" t="s">
        <v>152</v>
      </c>
      <c r="C110" s="46">
        <v>0</v>
      </c>
      <c r="D110" s="83">
        <v>0</v>
      </c>
      <c r="E110" s="47">
        <f t="shared" ref="E110:E115" si="55">C110+D110</f>
        <v>0</v>
      </c>
      <c r="F110" s="48">
        <v>0</v>
      </c>
      <c r="G110" s="48">
        <f t="shared" si="51"/>
        <v>0</v>
      </c>
      <c r="H110" s="92">
        <v>0</v>
      </c>
      <c r="I110" s="23">
        <v>0</v>
      </c>
      <c r="J110" s="93">
        <v>0</v>
      </c>
      <c r="K110" s="22">
        <v>0</v>
      </c>
      <c r="L110" s="48">
        <f t="shared" si="52"/>
        <v>0</v>
      </c>
      <c r="M110" s="87"/>
      <c r="N110" s="48">
        <f t="shared" si="53"/>
        <v>0</v>
      </c>
      <c r="O110" s="30">
        <v>0</v>
      </c>
      <c r="P110" s="27">
        <f t="shared" si="54"/>
        <v>0</v>
      </c>
      <c r="Q110" s="94">
        <v>0</v>
      </c>
      <c r="R110" s="29">
        <v>0</v>
      </c>
      <c r="S110" s="95">
        <v>0</v>
      </c>
    </row>
    <row r="111" spans="1:36" x14ac:dyDescent="0.25">
      <c r="A111" s="17">
        <v>320</v>
      </c>
      <c r="B111" s="18" t="s">
        <v>153</v>
      </c>
      <c r="C111" s="46">
        <v>0</v>
      </c>
      <c r="D111" s="83">
        <v>0</v>
      </c>
      <c r="E111" s="47">
        <f t="shared" si="55"/>
        <v>0</v>
      </c>
      <c r="F111" s="48">
        <v>0</v>
      </c>
      <c r="G111" s="48">
        <f t="shared" si="51"/>
        <v>0</v>
      </c>
      <c r="H111" s="92">
        <v>0</v>
      </c>
      <c r="I111" s="23">
        <v>0</v>
      </c>
      <c r="J111" s="93">
        <v>0</v>
      </c>
      <c r="K111" s="22">
        <v>0</v>
      </c>
      <c r="L111" s="48">
        <f t="shared" si="52"/>
        <v>0</v>
      </c>
      <c r="M111" s="87">
        <f t="shared" ref="M111:M116" si="56">SUM(G111-H111)</f>
        <v>0</v>
      </c>
      <c r="N111" s="48">
        <f t="shared" si="53"/>
        <v>0</v>
      </c>
      <c r="O111" s="30">
        <v>0</v>
      </c>
      <c r="P111" s="27">
        <f t="shared" si="54"/>
        <v>0</v>
      </c>
      <c r="Q111" s="94">
        <v>0</v>
      </c>
      <c r="R111" s="29">
        <v>0</v>
      </c>
      <c r="S111" s="95">
        <v>0</v>
      </c>
    </row>
    <row r="112" spans="1:36" x14ac:dyDescent="0.25">
      <c r="A112" s="17" t="s">
        <v>154</v>
      </c>
      <c r="B112" s="18" t="s">
        <v>155</v>
      </c>
      <c r="C112" s="46">
        <v>0</v>
      </c>
      <c r="D112" s="83">
        <v>0</v>
      </c>
      <c r="E112" s="47">
        <f t="shared" si="55"/>
        <v>0</v>
      </c>
      <c r="F112" s="48">
        <v>0</v>
      </c>
      <c r="G112" s="48">
        <f t="shared" si="51"/>
        <v>0</v>
      </c>
      <c r="H112" s="92">
        <v>0</v>
      </c>
      <c r="I112" s="23">
        <v>0</v>
      </c>
      <c r="J112" s="93">
        <v>0</v>
      </c>
      <c r="K112" s="22">
        <v>0</v>
      </c>
      <c r="L112" s="48">
        <f t="shared" si="52"/>
        <v>0</v>
      </c>
      <c r="M112" s="87">
        <f t="shared" si="56"/>
        <v>0</v>
      </c>
      <c r="N112" s="48">
        <f t="shared" si="53"/>
        <v>0</v>
      </c>
      <c r="O112" s="30">
        <v>0</v>
      </c>
      <c r="P112" s="27">
        <f t="shared" si="54"/>
        <v>0</v>
      </c>
      <c r="Q112" s="94">
        <v>0</v>
      </c>
      <c r="R112" s="29">
        <v>0</v>
      </c>
      <c r="S112" s="95">
        <v>0</v>
      </c>
    </row>
    <row r="113" spans="1:16379" x14ac:dyDescent="0.25">
      <c r="A113" s="17" t="s">
        <v>156</v>
      </c>
      <c r="B113" s="18" t="s">
        <v>157</v>
      </c>
      <c r="C113" s="46">
        <v>0</v>
      </c>
      <c r="D113" s="83">
        <v>0</v>
      </c>
      <c r="E113" s="47">
        <f t="shared" si="55"/>
        <v>0</v>
      </c>
      <c r="F113" s="48">
        <v>0</v>
      </c>
      <c r="G113" s="48">
        <f t="shared" si="51"/>
        <v>0</v>
      </c>
      <c r="H113" s="92">
        <v>0</v>
      </c>
      <c r="I113" s="23">
        <v>0</v>
      </c>
      <c r="J113" s="93">
        <v>0</v>
      </c>
      <c r="K113" s="22">
        <v>0</v>
      </c>
      <c r="L113" s="48">
        <f t="shared" si="52"/>
        <v>0</v>
      </c>
      <c r="M113" s="87">
        <f t="shared" si="56"/>
        <v>0</v>
      </c>
      <c r="N113" s="48">
        <f t="shared" si="53"/>
        <v>0</v>
      </c>
      <c r="O113" s="30">
        <v>0</v>
      </c>
      <c r="P113" s="27">
        <f t="shared" si="54"/>
        <v>0</v>
      </c>
      <c r="Q113" s="94">
        <v>0</v>
      </c>
      <c r="R113" s="29">
        <v>0</v>
      </c>
      <c r="S113" s="95">
        <v>0</v>
      </c>
    </row>
    <row r="114" spans="1:16379" x14ac:dyDescent="0.25">
      <c r="A114" s="17" t="s">
        <v>158</v>
      </c>
      <c r="B114" s="18" t="s">
        <v>149</v>
      </c>
      <c r="C114" s="46">
        <v>0</v>
      </c>
      <c r="D114" s="83">
        <v>0</v>
      </c>
      <c r="E114" s="47">
        <f t="shared" si="55"/>
        <v>0</v>
      </c>
      <c r="F114" s="48">
        <f>4410</f>
        <v>4410</v>
      </c>
      <c r="G114" s="48">
        <f t="shared" si="51"/>
        <v>4410</v>
      </c>
      <c r="H114" s="92">
        <f>4410</f>
        <v>4410</v>
      </c>
      <c r="I114" s="23">
        <v>0</v>
      </c>
      <c r="J114" s="93">
        <f>2709.78</f>
        <v>2709.78</v>
      </c>
      <c r="K114" s="22">
        <f>3726.28</f>
        <v>3726.28</v>
      </c>
      <c r="L114" s="48">
        <f t="shared" si="52"/>
        <v>683.7199999999998</v>
      </c>
      <c r="M114" s="87">
        <f t="shared" si="56"/>
        <v>0</v>
      </c>
      <c r="N114" s="48">
        <f t="shared" si="53"/>
        <v>683.7199999999998</v>
      </c>
      <c r="O114" s="30">
        <v>0</v>
      </c>
      <c r="P114" s="27">
        <f t="shared" si="54"/>
        <v>3726.28</v>
      </c>
      <c r="Q114" s="94">
        <v>0</v>
      </c>
      <c r="R114" s="29">
        <v>0</v>
      </c>
      <c r="S114" s="95">
        <v>0</v>
      </c>
    </row>
    <row r="115" spans="1:16379" x14ac:dyDescent="0.25">
      <c r="A115" s="17">
        <v>380</v>
      </c>
      <c r="B115" s="18" t="s">
        <v>159</v>
      </c>
      <c r="C115" s="46">
        <v>50000</v>
      </c>
      <c r="D115" s="83">
        <v>0</v>
      </c>
      <c r="E115" s="47">
        <f t="shared" si="55"/>
        <v>50000</v>
      </c>
      <c r="F115" s="48">
        <f>-3355-2393</f>
        <v>-5748</v>
      </c>
      <c r="G115" s="48">
        <f t="shared" si="51"/>
        <v>44252</v>
      </c>
      <c r="H115" s="92">
        <f>46645-2393</f>
        <v>44252</v>
      </c>
      <c r="I115" s="23">
        <v>0</v>
      </c>
      <c r="J115" s="93">
        <f>42468.3+128.4</f>
        <v>42596.700000000004</v>
      </c>
      <c r="K115" s="22">
        <f>42654.8+1596.9</f>
        <v>44251.700000000004</v>
      </c>
      <c r="L115" s="48">
        <f t="shared" si="52"/>
        <v>0.29999999999563443</v>
      </c>
      <c r="M115" s="87">
        <f t="shared" si="56"/>
        <v>0</v>
      </c>
      <c r="N115" s="48">
        <f t="shared" si="53"/>
        <v>0.29999999999563443</v>
      </c>
      <c r="O115" s="30">
        <v>35438.400000000001</v>
      </c>
      <c r="P115" s="27">
        <f t="shared" si="54"/>
        <v>8813.3000000000029</v>
      </c>
      <c r="Q115" s="94">
        <f>SUM(K115/H115*1)</f>
        <v>0.99999322064539464</v>
      </c>
      <c r="R115" s="29">
        <f>SUM(J115/G115*1)</f>
        <v>0.96259378107204208</v>
      </c>
      <c r="S115" s="95">
        <f>SUM(K115/G115*1)</f>
        <v>0.99999322064539464</v>
      </c>
    </row>
    <row r="116" spans="1:16379" x14ac:dyDescent="0.25">
      <c r="A116" s="96">
        <v>399</v>
      </c>
      <c r="B116" s="97" t="s">
        <v>159</v>
      </c>
      <c r="C116" s="98">
        <v>0</v>
      </c>
      <c r="D116" s="99">
        <v>0</v>
      </c>
      <c r="E116" s="98"/>
      <c r="F116" s="99">
        <f>1655-1655</f>
        <v>0</v>
      </c>
      <c r="G116" s="99">
        <f t="shared" si="51"/>
        <v>0</v>
      </c>
      <c r="H116" s="100">
        <f>1655-1655</f>
        <v>0</v>
      </c>
      <c r="I116" s="100">
        <v>0</v>
      </c>
      <c r="J116" s="101">
        <v>0</v>
      </c>
      <c r="K116" s="101">
        <v>0</v>
      </c>
      <c r="L116" s="99">
        <f t="shared" si="52"/>
        <v>0</v>
      </c>
      <c r="M116" s="102">
        <f t="shared" si="56"/>
        <v>0</v>
      </c>
      <c r="N116" s="99">
        <f t="shared" si="53"/>
        <v>0</v>
      </c>
      <c r="O116" s="103">
        <v>0</v>
      </c>
      <c r="P116" s="104">
        <f t="shared" si="54"/>
        <v>0</v>
      </c>
      <c r="Q116" s="105">
        <v>0</v>
      </c>
      <c r="R116" s="105">
        <v>0</v>
      </c>
      <c r="S116" s="105">
        <v>0</v>
      </c>
      <c r="AMF116" s="1"/>
      <c r="AMG116" s="1"/>
      <c r="AMH116" s="1"/>
      <c r="AMI116" s="1"/>
      <c r="AMJ116" s="1"/>
      <c r="AMK116" s="1"/>
      <c r="AML116" s="1"/>
      <c r="AMM116" s="1"/>
      <c r="AMN116" s="1"/>
      <c r="AMO116" s="1"/>
      <c r="AMP116" s="1"/>
      <c r="AMQ116" s="1"/>
      <c r="AMR116" s="1"/>
      <c r="AMS116" s="1"/>
      <c r="AMT116" s="1"/>
      <c r="AMU116" s="1"/>
      <c r="AMV116" s="1"/>
      <c r="AMW116" s="1"/>
      <c r="AMX116" s="1"/>
      <c r="AMY116" s="1"/>
      <c r="AMZ116" s="1"/>
      <c r="ANA116" s="1"/>
      <c r="ANB116" s="1"/>
      <c r="ANC116" s="1"/>
      <c r="AND116" s="1"/>
      <c r="ANE116" s="1"/>
      <c r="ANF116" s="1"/>
      <c r="ANG116" s="1"/>
      <c r="ANH116" s="1"/>
      <c r="ANI116" s="1"/>
      <c r="ANJ116" s="1"/>
      <c r="ANK116" s="1"/>
      <c r="ANL116" s="1"/>
      <c r="ANM116" s="1"/>
      <c r="ANN116" s="1"/>
      <c r="ANO116" s="1"/>
      <c r="ANP116" s="1"/>
      <c r="ANQ116" s="1"/>
      <c r="ANR116" s="1"/>
      <c r="ANS116" s="1"/>
      <c r="ANT116" s="1"/>
      <c r="ANU116" s="1"/>
      <c r="ANV116" s="1"/>
      <c r="ANW116" s="1"/>
      <c r="ANX116" s="1"/>
      <c r="ANY116" s="1"/>
      <c r="ANZ116" s="1"/>
      <c r="AOA116" s="1"/>
      <c r="AOB116" s="1"/>
      <c r="AOC116" s="1"/>
      <c r="AOD116" s="1"/>
      <c r="AOE116" s="1"/>
      <c r="AOF116" s="1"/>
      <c r="AOG116" s="1"/>
      <c r="AOH116" s="1"/>
      <c r="AOI116" s="1"/>
      <c r="AOJ116" s="1"/>
      <c r="AOK116" s="1"/>
      <c r="AOL116" s="1"/>
      <c r="AOM116" s="1"/>
      <c r="AON116" s="1"/>
      <c r="AOO116" s="1"/>
      <c r="AOP116" s="1"/>
      <c r="AOQ116" s="1"/>
      <c r="AOR116" s="1"/>
      <c r="AOS116" s="1"/>
      <c r="AOT116" s="1"/>
      <c r="AOU116" s="1"/>
      <c r="AOV116" s="1"/>
      <c r="AOW116" s="1"/>
      <c r="AOX116" s="1"/>
      <c r="AOY116" s="1"/>
      <c r="AOZ116" s="1"/>
      <c r="APA116" s="1"/>
      <c r="APB116" s="1"/>
      <c r="APC116" s="1"/>
      <c r="APD116" s="1"/>
      <c r="APE116" s="1"/>
      <c r="APF116" s="1"/>
      <c r="APG116" s="1"/>
      <c r="APH116" s="1"/>
      <c r="API116" s="1"/>
      <c r="APJ116" s="1"/>
      <c r="APK116" s="1"/>
      <c r="APL116" s="1"/>
      <c r="APM116" s="1"/>
      <c r="APN116" s="1"/>
      <c r="APO116" s="1"/>
      <c r="APP116" s="1"/>
      <c r="APQ116" s="1"/>
      <c r="APR116" s="1"/>
      <c r="APS116" s="1"/>
      <c r="APT116" s="1"/>
      <c r="APU116" s="1"/>
      <c r="APV116" s="1"/>
      <c r="APW116" s="1"/>
      <c r="APX116" s="1"/>
      <c r="APY116" s="1"/>
      <c r="APZ116" s="1"/>
      <c r="AQA116" s="1"/>
      <c r="AQB116" s="1"/>
      <c r="AQC116" s="1"/>
      <c r="AQD116" s="1"/>
      <c r="AQE116" s="1"/>
      <c r="AQF116" s="1"/>
      <c r="AQG116" s="1"/>
      <c r="AQH116" s="1"/>
      <c r="AQI116" s="1"/>
      <c r="AQJ116" s="1"/>
      <c r="AQK116" s="1"/>
      <c r="AQL116" s="1"/>
      <c r="AQM116" s="1"/>
      <c r="AQN116" s="1"/>
      <c r="AQO116" s="1"/>
      <c r="AQP116" s="1"/>
      <c r="AQQ116" s="1"/>
      <c r="AQR116" s="1"/>
      <c r="AQS116" s="1"/>
      <c r="AQT116" s="1"/>
      <c r="AQU116" s="1"/>
      <c r="AQV116" s="1"/>
      <c r="AQW116" s="1"/>
      <c r="AQX116" s="1"/>
      <c r="AQY116" s="1"/>
      <c r="AQZ116" s="1"/>
      <c r="ARA116" s="1"/>
      <c r="ARB116" s="1"/>
      <c r="ARC116" s="1"/>
      <c r="ARD116" s="1"/>
      <c r="ARE116" s="1"/>
      <c r="ARF116" s="1"/>
      <c r="ARG116" s="1"/>
      <c r="ARH116" s="1"/>
      <c r="ARI116" s="1"/>
      <c r="ARJ116" s="1"/>
      <c r="ARK116" s="1"/>
      <c r="ARL116" s="1"/>
      <c r="ARM116" s="1"/>
      <c r="ARN116" s="1"/>
      <c r="ARO116" s="1"/>
      <c r="ARP116" s="1"/>
      <c r="ARQ116" s="1"/>
      <c r="ARR116" s="1"/>
      <c r="ARS116" s="1"/>
      <c r="ART116" s="1"/>
      <c r="ARU116" s="1"/>
      <c r="ARV116" s="1"/>
      <c r="ARW116" s="1"/>
      <c r="ARX116" s="1"/>
      <c r="ARY116" s="1"/>
      <c r="ARZ116" s="1"/>
      <c r="ASA116" s="1"/>
      <c r="ASB116" s="1"/>
      <c r="ASC116" s="1"/>
      <c r="ASD116" s="1"/>
      <c r="ASE116" s="1"/>
      <c r="ASF116" s="1"/>
      <c r="ASG116" s="1"/>
      <c r="ASH116" s="1"/>
      <c r="ASI116" s="1"/>
      <c r="ASJ116" s="1"/>
      <c r="ASK116" s="1"/>
      <c r="ASL116" s="1"/>
      <c r="ASM116" s="1"/>
      <c r="ASN116" s="1"/>
      <c r="ASO116" s="1"/>
      <c r="ASP116" s="1"/>
      <c r="ASQ116" s="1"/>
      <c r="ASR116" s="1"/>
      <c r="ASS116" s="1"/>
      <c r="AST116" s="1"/>
      <c r="ASU116" s="1"/>
      <c r="ASV116" s="1"/>
      <c r="ASW116" s="1"/>
      <c r="ASX116" s="1"/>
      <c r="ASY116" s="1"/>
      <c r="ASZ116" s="1"/>
      <c r="ATA116" s="1"/>
      <c r="ATB116" s="1"/>
      <c r="ATC116" s="1"/>
      <c r="ATD116" s="1"/>
      <c r="ATE116" s="1"/>
      <c r="ATF116" s="1"/>
      <c r="ATG116" s="1"/>
      <c r="ATH116" s="1"/>
      <c r="ATI116" s="1"/>
      <c r="ATJ116" s="1"/>
      <c r="ATK116" s="1"/>
      <c r="ATL116" s="1"/>
      <c r="ATM116" s="1"/>
      <c r="ATN116" s="1"/>
      <c r="ATO116" s="1"/>
      <c r="ATP116" s="1"/>
      <c r="ATQ116" s="1"/>
      <c r="ATR116" s="1"/>
      <c r="ATS116" s="1"/>
      <c r="ATT116" s="1"/>
      <c r="ATU116" s="1"/>
      <c r="ATV116" s="1"/>
      <c r="ATW116" s="1"/>
      <c r="ATX116" s="1"/>
      <c r="ATY116" s="1"/>
      <c r="ATZ116" s="1"/>
      <c r="AUA116" s="1"/>
      <c r="AUB116" s="1"/>
      <c r="AUC116" s="1"/>
      <c r="AUD116" s="1"/>
      <c r="AUE116" s="1"/>
      <c r="AUF116" s="1"/>
      <c r="AUG116" s="1"/>
      <c r="AUH116" s="1"/>
      <c r="AUI116" s="1"/>
      <c r="AUJ116" s="1"/>
      <c r="AUK116" s="1"/>
      <c r="AUL116" s="1"/>
      <c r="AUM116" s="1"/>
      <c r="AUN116" s="1"/>
      <c r="AUO116" s="1"/>
      <c r="AUP116" s="1"/>
      <c r="AUQ116" s="1"/>
      <c r="AUR116" s="1"/>
      <c r="AUS116" s="1"/>
      <c r="AUT116" s="1"/>
      <c r="AUU116" s="1"/>
      <c r="AUV116" s="1"/>
      <c r="AUW116" s="1"/>
      <c r="AUX116" s="1"/>
      <c r="AUY116" s="1"/>
      <c r="AUZ116" s="1"/>
      <c r="AVA116" s="1"/>
      <c r="AVB116" s="1"/>
      <c r="AVC116" s="1"/>
      <c r="AVD116" s="1"/>
      <c r="AVE116" s="1"/>
      <c r="AVF116" s="1"/>
      <c r="AVG116" s="1"/>
      <c r="AVH116" s="1"/>
      <c r="AVI116" s="1"/>
      <c r="AVJ116" s="1"/>
      <c r="AVK116" s="1"/>
      <c r="AVL116" s="1"/>
      <c r="AVM116" s="1"/>
      <c r="AVN116" s="1"/>
      <c r="AVO116" s="1"/>
      <c r="AVP116" s="1"/>
      <c r="AVQ116" s="1"/>
      <c r="AVR116" s="1"/>
      <c r="AVS116" s="1"/>
      <c r="AVT116" s="1"/>
      <c r="AVU116" s="1"/>
      <c r="AVV116" s="1"/>
      <c r="AVW116" s="1"/>
      <c r="AVX116" s="1"/>
      <c r="AVY116" s="1"/>
      <c r="AVZ116" s="1"/>
      <c r="AWA116" s="1"/>
      <c r="AWB116" s="1"/>
      <c r="AWC116" s="1"/>
      <c r="AWD116" s="1"/>
      <c r="AWE116" s="1"/>
      <c r="AWF116" s="1"/>
      <c r="AWG116" s="1"/>
      <c r="AWH116" s="1"/>
      <c r="AWI116" s="1"/>
      <c r="AWJ116" s="1"/>
      <c r="AWK116" s="1"/>
      <c r="AWL116" s="1"/>
      <c r="AWM116" s="1"/>
      <c r="AWN116" s="1"/>
      <c r="AWO116" s="1"/>
      <c r="AWP116" s="1"/>
      <c r="AWQ116" s="1"/>
      <c r="AWR116" s="1"/>
      <c r="AWS116" s="1"/>
      <c r="AWT116" s="1"/>
      <c r="AWU116" s="1"/>
      <c r="AWV116" s="1"/>
      <c r="AWW116" s="1"/>
      <c r="AWX116" s="1"/>
      <c r="AWY116" s="1"/>
      <c r="AWZ116" s="1"/>
      <c r="AXA116" s="1"/>
      <c r="AXB116" s="1"/>
      <c r="AXC116" s="1"/>
      <c r="AXD116" s="1"/>
      <c r="AXE116" s="1"/>
      <c r="AXF116" s="1"/>
      <c r="AXG116" s="1"/>
      <c r="AXH116" s="1"/>
      <c r="AXI116" s="1"/>
      <c r="AXJ116" s="1"/>
      <c r="AXK116" s="1"/>
      <c r="AXL116" s="1"/>
      <c r="AXM116" s="1"/>
      <c r="AXN116" s="1"/>
      <c r="AXO116" s="1"/>
      <c r="AXP116" s="1"/>
      <c r="AXQ116" s="1"/>
      <c r="AXR116" s="1"/>
      <c r="AXS116" s="1"/>
      <c r="AXT116" s="1"/>
      <c r="AXU116" s="1"/>
      <c r="AXV116" s="1"/>
      <c r="AXW116" s="1"/>
      <c r="AXX116" s="1"/>
      <c r="AXY116" s="1"/>
      <c r="AXZ116" s="1"/>
      <c r="AYA116" s="1"/>
      <c r="AYB116" s="1"/>
      <c r="AYC116" s="1"/>
      <c r="AYD116" s="1"/>
      <c r="AYE116" s="1"/>
      <c r="AYF116" s="1"/>
      <c r="AYG116" s="1"/>
      <c r="AYH116" s="1"/>
      <c r="AYI116" s="1"/>
      <c r="AYJ116" s="1"/>
      <c r="AYK116" s="1"/>
      <c r="AYL116" s="1"/>
      <c r="AYM116" s="1"/>
      <c r="AYN116" s="1"/>
      <c r="AYO116" s="1"/>
      <c r="AYP116" s="1"/>
      <c r="AYQ116" s="1"/>
      <c r="AYR116" s="1"/>
      <c r="AYS116" s="1"/>
      <c r="AYT116" s="1"/>
      <c r="AYU116" s="1"/>
      <c r="AYV116" s="1"/>
      <c r="AYW116" s="1"/>
      <c r="AYX116" s="1"/>
      <c r="AYY116" s="1"/>
      <c r="AYZ116" s="1"/>
      <c r="AZA116" s="1"/>
      <c r="AZB116" s="1"/>
      <c r="AZC116" s="1"/>
      <c r="AZD116" s="1"/>
      <c r="AZE116" s="1"/>
      <c r="AZF116" s="1"/>
      <c r="AZG116" s="1"/>
      <c r="AZH116" s="1"/>
      <c r="AZI116" s="1"/>
      <c r="AZJ116" s="1"/>
      <c r="AZK116" s="1"/>
      <c r="AZL116" s="1"/>
      <c r="AZM116" s="1"/>
      <c r="AZN116" s="1"/>
      <c r="AZO116" s="1"/>
      <c r="AZP116" s="1"/>
      <c r="AZQ116" s="1"/>
      <c r="AZR116" s="1"/>
      <c r="AZS116" s="1"/>
      <c r="AZT116" s="1"/>
      <c r="AZU116" s="1"/>
      <c r="AZV116" s="1"/>
      <c r="AZW116" s="1"/>
      <c r="AZX116" s="1"/>
      <c r="AZY116" s="1"/>
      <c r="AZZ116" s="1"/>
      <c r="BAA116" s="1"/>
      <c r="BAB116" s="1"/>
      <c r="BAC116" s="1"/>
      <c r="BAD116" s="1"/>
      <c r="BAE116" s="1"/>
      <c r="BAF116" s="1"/>
      <c r="BAG116" s="1"/>
      <c r="BAH116" s="1"/>
      <c r="BAI116" s="1"/>
      <c r="BAJ116" s="1"/>
      <c r="BAK116" s="1"/>
      <c r="BAL116" s="1"/>
      <c r="BAM116" s="1"/>
      <c r="BAN116" s="1"/>
      <c r="BAO116" s="1"/>
      <c r="BAP116" s="1"/>
      <c r="BAQ116" s="1"/>
      <c r="BAR116" s="1"/>
      <c r="BAS116" s="1"/>
      <c r="BAT116" s="1"/>
      <c r="BAU116" s="1"/>
      <c r="BAV116" s="1"/>
      <c r="BAW116" s="1"/>
      <c r="BAX116" s="1"/>
      <c r="BAY116" s="1"/>
      <c r="BAZ116" s="1"/>
      <c r="BBA116" s="1"/>
      <c r="BBB116" s="1"/>
      <c r="BBC116" s="1"/>
      <c r="BBD116" s="1"/>
      <c r="BBE116" s="1"/>
      <c r="BBF116" s="1"/>
      <c r="BBG116" s="1"/>
      <c r="BBH116" s="1"/>
      <c r="BBI116" s="1"/>
      <c r="BBJ116" s="1"/>
      <c r="BBK116" s="1"/>
      <c r="BBL116" s="1"/>
      <c r="BBM116" s="1"/>
      <c r="BBN116" s="1"/>
      <c r="BBO116" s="1"/>
      <c r="BBP116" s="1"/>
      <c r="BBQ116" s="1"/>
      <c r="BBR116" s="1"/>
      <c r="BBS116" s="1"/>
      <c r="BBT116" s="1"/>
      <c r="BBU116" s="1"/>
      <c r="BBV116" s="1"/>
      <c r="BBW116" s="1"/>
      <c r="BBX116" s="1"/>
      <c r="BBY116" s="1"/>
      <c r="BBZ116" s="1"/>
      <c r="BCA116" s="1"/>
      <c r="BCB116" s="1"/>
      <c r="BCC116" s="1"/>
      <c r="BCD116" s="1"/>
      <c r="BCE116" s="1"/>
      <c r="BCF116" s="1"/>
      <c r="BCG116" s="1"/>
      <c r="BCH116" s="1"/>
      <c r="BCI116" s="1"/>
      <c r="BCJ116" s="1"/>
      <c r="BCK116" s="1"/>
      <c r="BCL116" s="1"/>
      <c r="BCM116" s="1"/>
      <c r="BCN116" s="1"/>
      <c r="BCO116" s="1"/>
      <c r="BCP116" s="1"/>
      <c r="BCQ116" s="1"/>
      <c r="BCR116" s="1"/>
      <c r="BCS116" s="1"/>
      <c r="BCT116" s="1"/>
      <c r="BCU116" s="1"/>
      <c r="BCV116" s="1"/>
      <c r="BCW116" s="1"/>
      <c r="BCX116" s="1"/>
      <c r="BCY116" s="1"/>
      <c r="BCZ116" s="1"/>
      <c r="BDA116" s="1"/>
      <c r="BDB116" s="1"/>
      <c r="BDC116" s="1"/>
      <c r="BDD116" s="1"/>
      <c r="BDE116" s="1"/>
      <c r="BDF116" s="1"/>
      <c r="BDG116" s="1"/>
      <c r="BDH116" s="1"/>
      <c r="BDI116" s="1"/>
      <c r="BDJ116" s="1"/>
      <c r="BDK116" s="1"/>
      <c r="BDL116" s="1"/>
      <c r="BDM116" s="1"/>
      <c r="BDN116" s="1"/>
      <c r="BDO116" s="1"/>
      <c r="BDP116" s="1"/>
      <c r="BDQ116" s="1"/>
      <c r="BDR116" s="1"/>
      <c r="BDS116" s="1"/>
      <c r="BDT116" s="1"/>
      <c r="BDU116" s="1"/>
      <c r="BDV116" s="1"/>
      <c r="BDW116" s="1"/>
      <c r="BDX116" s="1"/>
      <c r="BDY116" s="1"/>
      <c r="BDZ116" s="1"/>
      <c r="BEA116" s="1"/>
      <c r="BEB116" s="1"/>
      <c r="BEC116" s="1"/>
      <c r="BED116" s="1"/>
      <c r="BEE116" s="1"/>
      <c r="BEF116" s="1"/>
      <c r="BEG116" s="1"/>
      <c r="BEH116" s="1"/>
      <c r="BEI116" s="1"/>
      <c r="BEJ116" s="1"/>
      <c r="BEK116" s="1"/>
      <c r="BEL116" s="1"/>
      <c r="BEM116" s="1"/>
      <c r="BEN116" s="1"/>
      <c r="BEO116" s="1"/>
      <c r="BEP116" s="1"/>
      <c r="BEQ116" s="1"/>
      <c r="BER116" s="1"/>
      <c r="BES116" s="1"/>
      <c r="BET116" s="1"/>
      <c r="BEU116" s="1"/>
      <c r="BEV116" s="1"/>
      <c r="BEW116" s="1"/>
      <c r="BEX116" s="1"/>
      <c r="BEY116" s="1"/>
      <c r="BEZ116" s="1"/>
      <c r="BFA116" s="1"/>
      <c r="BFB116" s="1"/>
      <c r="BFC116" s="1"/>
      <c r="BFD116" s="1"/>
      <c r="BFE116" s="1"/>
      <c r="BFF116" s="1"/>
      <c r="BFG116" s="1"/>
      <c r="BFH116" s="1"/>
      <c r="BFI116" s="1"/>
      <c r="BFJ116" s="1"/>
      <c r="BFK116" s="1"/>
      <c r="BFL116" s="1"/>
      <c r="BFM116" s="1"/>
      <c r="BFN116" s="1"/>
      <c r="BFO116" s="1"/>
      <c r="BFP116" s="1"/>
      <c r="BFQ116" s="1"/>
      <c r="BFR116" s="1"/>
      <c r="BFS116" s="1"/>
      <c r="BFT116" s="1"/>
      <c r="BFU116" s="1"/>
      <c r="BFV116" s="1"/>
      <c r="BFW116" s="1"/>
      <c r="BFX116" s="1"/>
      <c r="BFY116" s="1"/>
      <c r="BFZ116" s="1"/>
      <c r="BGA116" s="1"/>
      <c r="BGB116" s="1"/>
      <c r="BGC116" s="1"/>
      <c r="BGD116" s="1"/>
      <c r="BGE116" s="1"/>
      <c r="BGF116" s="1"/>
      <c r="BGG116" s="1"/>
      <c r="BGH116" s="1"/>
      <c r="BGI116" s="1"/>
      <c r="BGJ116" s="1"/>
      <c r="BGK116" s="1"/>
      <c r="BGL116" s="1"/>
      <c r="BGM116" s="1"/>
      <c r="BGN116" s="1"/>
      <c r="BGO116" s="1"/>
      <c r="BGP116" s="1"/>
      <c r="BGQ116" s="1"/>
      <c r="BGR116" s="1"/>
      <c r="BGS116" s="1"/>
      <c r="BGT116" s="1"/>
      <c r="BGU116" s="1"/>
      <c r="BGV116" s="1"/>
      <c r="BGW116" s="1"/>
      <c r="BGX116" s="1"/>
      <c r="BGY116" s="1"/>
      <c r="BGZ116" s="1"/>
      <c r="BHA116" s="1"/>
      <c r="BHB116" s="1"/>
      <c r="BHC116" s="1"/>
      <c r="BHD116" s="1"/>
      <c r="BHE116" s="1"/>
      <c r="BHF116" s="1"/>
      <c r="BHG116" s="1"/>
      <c r="BHH116" s="1"/>
      <c r="BHI116" s="1"/>
      <c r="BHJ116" s="1"/>
      <c r="BHK116" s="1"/>
      <c r="BHL116" s="1"/>
      <c r="BHM116" s="1"/>
      <c r="BHN116" s="1"/>
      <c r="BHO116" s="1"/>
      <c r="BHP116" s="1"/>
      <c r="BHQ116" s="1"/>
      <c r="BHR116" s="1"/>
      <c r="BHS116" s="1"/>
      <c r="BHT116" s="1"/>
      <c r="BHU116" s="1"/>
      <c r="BHV116" s="1"/>
      <c r="BHW116" s="1"/>
      <c r="BHX116" s="1"/>
      <c r="BHY116" s="1"/>
      <c r="BHZ116" s="1"/>
      <c r="BIA116" s="1"/>
      <c r="BIB116" s="1"/>
      <c r="BIC116" s="1"/>
      <c r="BID116" s="1"/>
      <c r="BIE116" s="1"/>
      <c r="BIF116" s="1"/>
      <c r="BIG116" s="1"/>
      <c r="BIH116" s="1"/>
      <c r="BII116" s="1"/>
      <c r="BIJ116" s="1"/>
      <c r="BIK116" s="1"/>
      <c r="BIL116" s="1"/>
      <c r="BIM116" s="1"/>
      <c r="BIN116" s="1"/>
      <c r="BIO116" s="1"/>
      <c r="BIP116" s="1"/>
      <c r="BIQ116" s="1"/>
      <c r="BIR116" s="1"/>
      <c r="BIS116" s="1"/>
      <c r="BIT116" s="1"/>
      <c r="BIU116" s="1"/>
      <c r="BIV116" s="1"/>
      <c r="BIW116" s="1"/>
      <c r="BIX116" s="1"/>
      <c r="BIY116" s="1"/>
      <c r="BIZ116" s="1"/>
      <c r="BJA116" s="1"/>
      <c r="BJB116" s="1"/>
      <c r="BJC116" s="1"/>
      <c r="BJD116" s="1"/>
      <c r="BJE116" s="1"/>
      <c r="BJF116" s="1"/>
      <c r="BJG116" s="1"/>
      <c r="BJH116" s="1"/>
      <c r="BJI116" s="1"/>
      <c r="BJJ116" s="1"/>
      <c r="BJK116" s="1"/>
      <c r="BJL116" s="1"/>
      <c r="BJM116" s="1"/>
      <c r="BJN116" s="1"/>
      <c r="BJO116" s="1"/>
      <c r="BJP116" s="1"/>
      <c r="BJQ116" s="1"/>
      <c r="BJR116" s="1"/>
      <c r="BJS116" s="1"/>
      <c r="BJT116" s="1"/>
      <c r="BJU116" s="1"/>
      <c r="BJV116" s="1"/>
      <c r="BJW116" s="1"/>
      <c r="BJX116" s="1"/>
      <c r="BJY116" s="1"/>
      <c r="BJZ116" s="1"/>
      <c r="BKA116" s="1"/>
      <c r="BKB116" s="1"/>
      <c r="BKC116" s="1"/>
      <c r="BKD116" s="1"/>
      <c r="BKE116" s="1"/>
      <c r="BKF116" s="1"/>
      <c r="BKG116" s="1"/>
      <c r="BKH116" s="1"/>
      <c r="BKI116" s="1"/>
      <c r="BKJ116" s="1"/>
      <c r="BKK116" s="1"/>
      <c r="BKL116" s="1"/>
      <c r="BKM116" s="1"/>
      <c r="BKN116" s="1"/>
      <c r="BKO116" s="1"/>
      <c r="BKP116" s="1"/>
      <c r="BKQ116" s="1"/>
      <c r="BKR116" s="1"/>
      <c r="BKS116" s="1"/>
      <c r="BKT116" s="1"/>
      <c r="BKU116" s="1"/>
      <c r="BKV116" s="1"/>
      <c r="BKW116" s="1"/>
      <c r="BKX116" s="1"/>
      <c r="BKY116" s="1"/>
      <c r="BKZ116" s="1"/>
      <c r="BLA116" s="1"/>
      <c r="BLB116" s="1"/>
      <c r="BLC116" s="1"/>
      <c r="BLD116" s="1"/>
      <c r="BLE116" s="1"/>
      <c r="BLF116" s="1"/>
      <c r="BLG116" s="1"/>
      <c r="BLH116" s="1"/>
      <c r="BLI116" s="1"/>
      <c r="BLJ116" s="1"/>
      <c r="BLK116" s="1"/>
      <c r="BLL116" s="1"/>
      <c r="BLM116" s="1"/>
      <c r="BLN116" s="1"/>
      <c r="BLO116" s="1"/>
      <c r="BLP116" s="1"/>
      <c r="BLQ116" s="1"/>
      <c r="BLR116" s="1"/>
      <c r="BLS116" s="1"/>
      <c r="BLT116" s="1"/>
      <c r="BLU116" s="1"/>
      <c r="BLV116" s="1"/>
      <c r="BLW116" s="1"/>
      <c r="BLX116" s="1"/>
      <c r="BLY116" s="1"/>
      <c r="BLZ116" s="1"/>
      <c r="BMA116" s="1"/>
      <c r="BMB116" s="1"/>
      <c r="BMC116" s="1"/>
      <c r="BMD116" s="1"/>
      <c r="BME116" s="1"/>
      <c r="BMF116" s="1"/>
      <c r="BMG116" s="1"/>
      <c r="BMH116" s="1"/>
      <c r="BMI116" s="1"/>
      <c r="BMJ116" s="1"/>
      <c r="BMK116" s="1"/>
      <c r="BML116" s="1"/>
      <c r="BMM116" s="1"/>
      <c r="BMN116" s="1"/>
      <c r="BMO116" s="1"/>
      <c r="BMP116" s="1"/>
      <c r="BMQ116" s="1"/>
      <c r="BMR116" s="1"/>
      <c r="BMS116" s="1"/>
      <c r="BMT116" s="1"/>
      <c r="BMU116" s="1"/>
      <c r="BMV116" s="1"/>
      <c r="BMW116" s="1"/>
      <c r="BMX116" s="1"/>
      <c r="BMY116" s="1"/>
      <c r="BMZ116" s="1"/>
      <c r="BNA116" s="1"/>
      <c r="BNB116" s="1"/>
      <c r="BNC116" s="1"/>
      <c r="BND116" s="1"/>
      <c r="BNE116" s="1"/>
      <c r="BNF116" s="1"/>
      <c r="BNG116" s="1"/>
      <c r="BNH116" s="1"/>
      <c r="BNI116" s="1"/>
      <c r="BNJ116" s="1"/>
      <c r="BNK116" s="1"/>
      <c r="BNL116" s="1"/>
      <c r="BNM116" s="1"/>
      <c r="BNN116" s="1"/>
      <c r="BNO116" s="1"/>
      <c r="BNP116" s="1"/>
      <c r="BNQ116" s="1"/>
      <c r="BNR116" s="1"/>
      <c r="BNS116" s="1"/>
      <c r="BNT116" s="1"/>
      <c r="BNU116" s="1"/>
      <c r="BNV116" s="1"/>
      <c r="BNW116" s="1"/>
      <c r="BNX116" s="1"/>
      <c r="BNY116" s="1"/>
      <c r="BNZ116" s="1"/>
      <c r="BOA116" s="1"/>
      <c r="BOB116" s="1"/>
      <c r="BOC116" s="1"/>
      <c r="BOD116" s="1"/>
      <c r="BOE116" s="1"/>
      <c r="BOF116" s="1"/>
      <c r="BOG116" s="1"/>
      <c r="BOH116" s="1"/>
      <c r="BOI116" s="1"/>
      <c r="BOJ116" s="1"/>
      <c r="BOK116" s="1"/>
      <c r="BOL116" s="1"/>
      <c r="BOM116" s="1"/>
      <c r="BON116" s="1"/>
      <c r="BOO116" s="1"/>
      <c r="BOP116" s="1"/>
      <c r="BOQ116" s="1"/>
      <c r="BOR116" s="1"/>
      <c r="BOS116" s="1"/>
      <c r="BOT116" s="1"/>
      <c r="BOU116" s="1"/>
      <c r="BOV116" s="1"/>
      <c r="BOW116" s="1"/>
      <c r="BOX116" s="1"/>
      <c r="BOY116" s="1"/>
      <c r="BOZ116" s="1"/>
      <c r="BPA116" s="1"/>
      <c r="BPB116" s="1"/>
      <c r="BPC116" s="1"/>
      <c r="BPD116" s="1"/>
      <c r="BPE116" s="1"/>
      <c r="BPF116" s="1"/>
      <c r="BPG116" s="1"/>
      <c r="BPH116" s="1"/>
      <c r="BPI116" s="1"/>
      <c r="BPJ116" s="1"/>
      <c r="BPK116" s="1"/>
      <c r="BPL116" s="1"/>
      <c r="BPM116" s="1"/>
      <c r="BPN116" s="1"/>
      <c r="BPO116" s="1"/>
      <c r="BPP116" s="1"/>
      <c r="BPQ116" s="1"/>
      <c r="BPR116" s="1"/>
      <c r="BPS116" s="1"/>
      <c r="BPT116" s="1"/>
      <c r="BPU116" s="1"/>
      <c r="BPV116" s="1"/>
      <c r="BPW116" s="1"/>
      <c r="BPX116" s="1"/>
      <c r="BPY116" s="1"/>
      <c r="BPZ116" s="1"/>
      <c r="BQA116" s="1"/>
      <c r="BQB116" s="1"/>
      <c r="BQC116" s="1"/>
      <c r="BQD116" s="1"/>
      <c r="BQE116" s="1"/>
      <c r="BQF116" s="1"/>
      <c r="BQG116" s="1"/>
      <c r="BQH116" s="1"/>
      <c r="BQI116" s="1"/>
      <c r="BQJ116" s="1"/>
      <c r="BQK116" s="1"/>
      <c r="BQL116" s="1"/>
      <c r="BQM116" s="1"/>
      <c r="BQN116" s="1"/>
      <c r="BQO116" s="1"/>
      <c r="BQP116" s="1"/>
      <c r="BQQ116" s="1"/>
      <c r="BQR116" s="1"/>
      <c r="BQS116" s="1"/>
      <c r="BQT116" s="1"/>
      <c r="BQU116" s="1"/>
      <c r="BQV116" s="1"/>
      <c r="BQW116" s="1"/>
      <c r="BQX116" s="1"/>
      <c r="BQY116" s="1"/>
      <c r="BQZ116" s="1"/>
      <c r="BRA116" s="1"/>
      <c r="BRB116" s="1"/>
      <c r="BRC116" s="1"/>
      <c r="BRD116" s="1"/>
      <c r="BRE116" s="1"/>
      <c r="BRF116" s="1"/>
      <c r="BRG116" s="1"/>
      <c r="BRH116" s="1"/>
      <c r="BRI116" s="1"/>
      <c r="BRJ116" s="1"/>
      <c r="BRK116" s="1"/>
      <c r="BRL116" s="1"/>
      <c r="BRM116" s="1"/>
      <c r="BRN116" s="1"/>
      <c r="BRO116" s="1"/>
      <c r="BRP116" s="1"/>
      <c r="BRQ116" s="1"/>
      <c r="BRR116" s="1"/>
      <c r="BRS116" s="1"/>
      <c r="BRT116" s="1"/>
      <c r="BRU116" s="1"/>
      <c r="BRV116" s="1"/>
      <c r="BRW116" s="1"/>
      <c r="BRX116" s="1"/>
      <c r="BRY116" s="1"/>
      <c r="BRZ116" s="1"/>
      <c r="BSA116" s="1"/>
      <c r="BSB116" s="1"/>
      <c r="BSC116" s="1"/>
      <c r="BSD116" s="1"/>
      <c r="BSE116" s="1"/>
      <c r="BSF116" s="1"/>
      <c r="BSG116" s="1"/>
      <c r="BSH116" s="1"/>
      <c r="BSI116" s="1"/>
      <c r="BSJ116" s="1"/>
      <c r="BSK116" s="1"/>
      <c r="BSL116" s="1"/>
      <c r="BSM116" s="1"/>
      <c r="BSN116" s="1"/>
      <c r="BSO116" s="1"/>
      <c r="BSP116" s="1"/>
      <c r="BSQ116" s="1"/>
      <c r="BSR116" s="1"/>
      <c r="BSS116" s="1"/>
      <c r="BST116" s="1"/>
      <c r="BSU116" s="1"/>
      <c r="BSV116" s="1"/>
      <c r="BSW116" s="1"/>
      <c r="BSX116" s="1"/>
      <c r="BSY116" s="1"/>
      <c r="BSZ116" s="1"/>
      <c r="BTA116" s="1"/>
      <c r="BTB116" s="1"/>
      <c r="BTC116" s="1"/>
      <c r="BTD116" s="1"/>
      <c r="BTE116" s="1"/>
      <c r="BTF116" s="1"/>
      <c r="BTG116" s="1"/>
      <c r="BTH116" s="1"/>
      <c r="BTI116" s="1"/>
      <c r="BTJ116" s="1"/>
      <c r="BTK116" s="1"/>
      <c r="BTL116" s="1"/>
      <c r="BTM116" s="1"/>
      <c r="BTN116" s="1"/>
      <c r="BTO116" s="1"/>
      <c r="BTP116" s="1"/>
      <c r="BTQ116" s="1"/>
      <c r="BTR116" s="1"/>
      <c r="BTS116" s="1"/>
      <c r="BTT116" s="1"/>
      <c r="BTU116" s="1"/>
      <c r="BTV116" s="1"/>
      <c r="BTW116" s="1"/>
      <c r="BTX116" s="1"/>
      <c r="BTY116" s="1"/>
      <c r="BTZ116" s="1"/>
      <c r="BUA116" s="1"/>
      <c r="BUB116" s="1"/>
      <c r="BUC116" s="1"/>
      <c r="BUD116" s="1"/>
      <c r="BUE116" s="1"/>
      <c r="BUF116" s="1"/>
      <c r="BUG116" s="1"/>
      <c r="BUH116" s="1"/>
      <c r="BUI116" s="1"/>
      <c r="BUJ116" s="1"/>
      <c r="BUK116" s="1"/>
      <c r="BUL116" s="1"/>
      <c r="BUM116" s="1"/>
      <c r="BUN116" s="1"/>
      <c r="BUO116" s="1"/>
      <c r="BUP116" s="1"/>
      <c r="BUQ116" s="1"/>
      <c r="BUR116" s="1"/>
      <c r="BUS116" s="1"/>
      <c r="BUT116" s="1"/>
      <c r="BUU116" s="1"/>
      <c r="BUV116" s="1"/>
      <c r="BUW116" s="1"/>
      <c r="BUX116" s="1"/>
      <c r="BUY116" s="1"/>
      <c r="BUZ116" s="1"/>
      <c r="BVA116" s="1"/>
      <c r="BVB116" s="1"/>
      <c r="BVC116" s="1"/>
      <c r="BVD116" s="1"/>
      <c r="BVE116" s="1"/>
      <c r="BVF116" s="1"/>
      <c r="BVG116" s="1"/>
      <c r="BVH116" s="1"/>
      <c r="BVI116" s="1"/>
      <c r="BVJ116" s="1"/>
      <c r="BVK116" s="1"/>
      <c r="BVL116" s="1"/>
      <c r="BVM116" s="1"/>
      <c r="BVN116" s="1"/>
      <c r="BVO116" s="1"/>
      <c r="BVP116" s="1"/>
      <c r="BVQ116" s="1"/>
      <c r="BVR116" s="1"/>
      <c r="BVS116" s="1"/>
      <c r="BVT116" s="1"/>
      <c r="BVU116" s="1"/>
      <c r="BVV116" s="1"/>
      <c r="BVW116" s="1"/>
      <c r="BVX116" s="1"/>
      <c r="BVY116" s="1"/>
      <c r="BVZ116" s="1"/>
      <c r="BWA116" s="1"/>
      <c r="BWB116" s="1"/>
      <c r="BWC116" s="1"/>
      <c r="BWD116" s="1"/>
      <c r="BWE116" s="1"/>
      <c r="BWF116" s="1"/>
      <c r="BWG116" s="1"/>
      <c r="BWH116" s="1"/>
      <c r="BWI116" s="1"/>
      <c r="BWJ116" s="1"/>
      <c r="BWK116" s="1"/>
      <c r="BWL116" s="1"/>
      <c r="BWM116" s="1"/>
      <c r="BWN116" s="1"/>
      <c r="BWO116" s="1"/>
      <c r="BWP116" s="1"/>
      <c r="BWQ116" s="1"/>
      <c r="BWR116" s="1"/>
      <c r="BWS116" s="1"/>
      <c r="BWT116" s="1"/>
      <c r="BWU116" s="1"/>
      <c r="BWV116" s="1"/>
      <c r="BWW116" s="1"/>
      <c r="BWX116" s="1"/>
      <c r="BWY116" s="1"/>
      <c r="BWZ116" s="1"/>
      <c r="BXA116" s="1"/>
      <c r="BXB116" s="1"/>
      <c r="BXC116" s="1"/>
      <c r="BXD116" s="1"/>
      <c r="BXE116" s="1"/>
      <c r="BXF116" s="1"/>
      <c r="BXG116" s="1"/>
      <c r="BXH116" s="1"/>
      <c r="BXI116" s="1"/>
      <c r="BXJ116" s="1"/>
      <c r="BXK116" s="1"/>
      <c r="BXL116" s="1"/>
      <c r="BXM116" s="1"/>
      <c r="BXN116" s="1"/>
      <c r="BXO116" s="1"/>
      <c r="BXP116" s="1"/>
      <c r="BXQ116" s="1"/>
      <c r="BXR116" s="1"/>
      <c r="BXS116" s="1"/>
      <c r="BXT116" s="1"/>
      <c r="BXU116" s="1"/>
      <c r="BXV116" s="1"/>
      <c r="BXW116" s="1"/>
      <c r="BXX116" s="1"/>
      <c r="BXY116" s="1"/>
      <c r="BXZ116" s="1"/>
      <c r="BYA116" s="1"/>
      <c r="BYB116" s="1"/>
      <c r="BYC116" s="1"/>
      <c r="BYD116" s="1"/>
      <c r="BYE116" s="1"/>
      <c r="BYF116" s="1"/>
      <c r="BYG116" s="1"/>
      <c r="BYH116" s="1"/>
      <c r="BYI116" s="1"/>
      <c r="BYJ116" s="1"/>
      <c r="BYK116" s="1"/>
      <c r="BYL116" s="1"/>
      <c r="BYM116" s="1"/>
      <c r="BYN116" s="1"/>
      <c r="BYO116" s="1"/>
      <c r="BYP116" s="1"/>
      <c r="BYQ116" s="1"/>
      <c r="BYR116" s="1"/>
      <c r="BYS116" s="1"/>
      <c r="BYT116" s="1"/>
      <c r="BYU116" s="1"/>
      <c r="BYV116" s="1"/>
      <c r="BYW116" s="1"/>
      <c r="BYX116" s="1"/>
      <c r="BYY116" s="1"/>
      <c r="BYZ116" s="1"/>
      <c r="BZA116" s="1"/>
      <c r="BZB116" s="1"/>
      <c r="BZC116" s="1"/>
      <c r="BZD116" s="1"/>
      <c r="BZE116" s="1"/>
      <c r="BZF116" s="1"/>
      <c r="BZG116" s="1"/>
      <c r="BZH116" s="1"/>
      <c r="BZI116" s="1"/>
      <c r="BZJ116" s="1"/>
      <c r="BZK116" s="1"/>
      <c r="BZL116" s="1"/>
      <c r="BZM116" s="1"/>
      <c r="BZN116" s="1"/>
      <c r="BZO116" s="1"/>
      <c r="BZP116" s="1"/>
      <c r="BZQ116" s="1"/>
      <c r="BZR116" s="1"/>
      <c r="BZS116" s="1"/>
      <c r="BZT116" s="1"/>
      <c r="BZU116" s="1"/>
      <c r="BZV116" s="1"/>
      <c r="BZW116" s="1"/>
      <c r="BZX116" s="1"/>
      <c r="BZY116" s="1"/>
      <c r="BZZ116" s="1"/>
      <c r="CAA116" s="1"/>
      <c r="CAB116" s="1"/>
      <c r="CAC116" s="1"/>
      <c r="CAD116" s="1"/>
      <c r="CAE116" s="1"/>
      <c r="CAF116" s="1"/>
      <c r="CAG116" s="1"/>
      <c r="CAH116" s="1"/>
      <c r="CAI116" s="1"/>
      <c r="CAJ116" s="1"/>
      <c r="CAK116" s="1"/>
      <c r="CAL116" s="1"/>
      <c r="CAM116" s="1"/>
      <c r="CAN116" s="1"/>
      <c r="CAO116" s="1"/>
      <c r="CAP116" s="1"/>
      <c r="CAQ116" s="1"/>
      <c r="CAR116" s="1"/>
      <c r="CAS116" s="1"/>
      <c r="CAT116" s="1"/>
      <c r="CAU116" s="1"/>
      <c r="CAV116" s="1"/>
      <c r="CAW116" s="1"/>
      <c r="CAX116" s="1"/>
      <c r="CAY116" s="1"/>
      <c r="CAZ116" s="1"/>
      <c r="CBA116" s="1"/>
      <c r="CBB116" s="1"/>
      <c r="CBC116" s="1"/>
      <c r="CBD116" s="1"/>
      <c r="CBE116" s="1"/>
      <c r="CBF116" s="1"/>
      <c r="CBG116" s="1"/>
      <c r="CBH116" s="1"/>
      <c r="CBI116" s="1"/>
      <c r="CBJ116" s="1"/>
      <c r="CBK116" s="1"/>
      <c r="CBL116" s="1"/>
      <c r="CBM116" s="1"/>
      <c r="CBN116" s="1"/>
      <c r="CBO116" s="1"/>
      <c r="CBP116" s="1"/>
      <c r="CBQ116" s="1"/>
      <c r="CBR116" s="1"/>
      <c r="CBS116" s="1"/>
      <c r="CBT116" s="1"/>
      <c r="CBU116" s="1"/>
      <c r="CBV116" s="1"/>
      <c r="CBW116" s="1"/>
      <c r="CBX116" s="1"/>
      <c r="CBY116" s="1"/>
      <c r="CBZ116" s="1"/>
      <c r="CCA116" s="1"/>
      <c r="CCB116" s="1"/>
      <c r="CCC116" s="1"/>
      <c r="CCD116" s="1"/>
      <c r="CCE116" s="1"/>
      <c r="CCF116" s="1"/>
      <c r="CCG116" s="1"/>
      <c r="CCH116" s="1"/>
      <c r="CCI116" s="1"/>
      <c r="CCJ116" s="1"/>
      <c r="CCK116" s="1"/>
      <c r="CCL116" s="1"/>
      <c r="CCM116" s="1"/>
      <c r="CCN116" s="1"/>
      <c r="CCO116" s="1"/>
      <c r="CCP116" s="1"/>
      <c r="CCQ116" s="1"/>
      <c r="CCR116" s="1"/>
      <c r="CCS116" s="1"/>
      <c r="CCT116" s="1"/>
      <c r="CCU116" s="1"/>
      <c r="CCV116" s="1"/>
      <c r="CCW116" s="1"/>
      <c r="CCX116" s="1"/>
      <c r="CCY116" s="1"/>
      <c r="CCZ116" s="1"/>
      <c r="CDA116" s="1"/>
      <c r="CDB116" s="1"/>
      <c r="CDC116" s="1"/>
      <c r="CDD116" s="1"/>
      <c r="CDE116" s="1"/>
      <c r="CDF116" s="1"/>
      <c r="CDG116" s="1"/>
      <c r="CDH116" s="1"/>
      <c r="CDI116" s="1"/>
      <c r="CDJ116" s="1"/>
      <c r="CDK116" s="1"/>
      <c r="CDL116" s="1"/>
      <c r="CDM116" s="1"/>
      <c r="CDN116" s="1"/>
      <c r="CDO116" s="1"/>
      <c r="CDP116" s="1"/>
      <c r="CDQ116" s="1"/>
      <c r="CDR116" s="1"/>
      <c r="CDS116" s="1"/>
      <c r="CDT116" s="1"/>
      <c r="CDU116" s="1"/>
      <c r="CDV116" s="1"/>
      <c r="CDW116" s="1"/>
      <c r="CDX116" s="1"/>
      <c r="CDY116" s="1"/>
      <c r="CDZ116" s="1"/>
      <c r="CEA116" s="1"/>
      <c r="CEB116" s="1"/>
      <c r="CEC116" s="1"/>
      <c r="CED116" s="1"/>
      <c r="CEE116" s="1"/>
      <c r="CEF116" s="1"/>
      <c r="CEG116" s="1"/>
      <c r="CEH116" s="1"/>
      <c r="CEI116" s="1"/>
      <c r="CEJ116" s="1"/>
      <c r="CEK116" s="1"/>
      <c r="CEL116" s="1"/>
      <c r="CEM116" s="1"/>
      <c r="CEN116" s="1"/>
      <c r="CEO116" s="1"/>
      <c r="CEP116" s="1"/>
      <c r="CEQ116" s="1"/>
      <c r="CER116" s="1"/>
      <c r="CES116" s="1"/>
      <c r="CET116" s="1"/>
      <c r="CEU116" s="1"/>
      <c r="CEV116" s="1"/>
      <c r="CEW116" s="1"/>
      <c r="CEX116" s="1"/>
      <c r="CEY116" s="1"/>
      <c r="CEZ116" s="1"/>
      <c r="CFA116" s="1"/>
      <c r="CFB116" s="1"/>
      <c r="CFC116" s="1"/>
      <c r="CFD116" s="1"/>
      <c r="CFE116" s="1"/>
      <c r="CFF116" s="1"/>
      <c r="CFG116" s="1"/>
      <c r="CFH116" s="1"/>
      <c r="CFI116" s="1"/>
      <c r="CFJ116" s="1"/>
      <c r="CFK116" s="1"/>
      <c r="CFL116" s="1"/>
      <c r="CFM116" s="1"/>
      <c r="CFN116" s="1"/>
      <c r="CFO116" s="1"/>
      <c r="CFP116" s="1"/>
      <c r="CFQ116" s="1"/>
      <c r="CFR116" s="1"/>
      <c r="CFS116" s="1"/>
      <c r="CFT116" s="1"/>
      <c r="CFU116" s="1"/>
      <c r="CFV116" s="1"/>
      <c r="CFW116" s="1"/>
      <c r="CFX116" s="1"/>
      <c r="CFY116" s="1"/>
      <c r="CFZ116" s="1"/>
      <c r="CGA116" s="1"/>
      <c r="CGB116" s="1"/>
      <c r="CGC116" s="1"/>
      <c r="CGD116" s="1"/>
      <c r="CGE116" s="1"/>
      <c r="CGF116" s="1"/>
      <c r="CGG116" s="1"/>
      <c r="CGH116" s="1"/>
      <c r="CGI116" s="1"/>
      <c r="CGJ116" s="1"/>
      <c r="CGK116" s="1"/>
      <c r="CGL116" s="1"/>
      <c r="CGM116" s="1"/>
      <c r="CGN116" s="1"/>
      <c r="CGO116" s="1"/>
      <c r="CGP116" s="1"/>
      <c r="CGQ116" s="1"/>
      <c r="CGR116" s="1"/>
      <c r="CGS116" s="1"/>
      <c r="CGT116" s="1"/>
      <c r="CGU116" s="1"/>
      <c r="CGV116" s="1"/>
      <c r="CGW116" s="1"/>
      <c r="CGX116" s="1"/>
      <c r="CGY116" s="1"/>
      <c r="CGZ116" s="1"/>
      <c r="CHA116" s="1"/>
      <c r="CHB116" s="1"/>
      <c r="CHC116" s="1"/>
      <c r="CHD116" s="1"/>
      <c r="CHE116" s="1"/>
      <c r="CHF116" s="1"/>
      <c r="CHG116" s="1"/>
      <c r="CHH116" s="1"/>
      <c r="CHI116" s="1"/>
      <c r="CHJ116" s="1"/>
      <c r="CHK116" s="1"/>
      <c r="CHL116" s="1"/>
      <c r="CHM116" s="1"/>
      <c r="CHN116" s="1"/>
      <c r="CHO116" s="1"/>
      <c r="CHP116" s="1"/>
      <c r="CHQ116" s="1"/>
      <c r="CHR116" s="1"/>
      <c r="CHS116" s="1"/>
      <c r="CHT116" s="1"/>
      <c r="CHU116" s="1"/>
      <c r="CHV116" s="1"/>
      <c r="CHW116" s="1"/>
      <c r="CHX116" s="1"/>
      <c r="CHY116" s="1"/>
      <c r="CHZ116" s="1"/>
      <c r="CIA116" s="1"/>
      <c r="CIB116" s="1"/>
      <c r="CIC116" s="1"/>
      <c r="CID116" s="1"/>
      <c r="CIE116" s="1"/>
      <c r="CIF116" s="1"/>
      <c r="CIG116" s="1"/>
      <c r="CIH116" s="1"/>
      <c r="CII116" s="1"/>
      <c r="CIJ116" s="1"/>
      <c r="CIK116" s="1"/>
      <c r="CIL116" s="1"/>
      <c r="CIM116" s="1"/>
      <c r="CIN116" s="1"/>
      <c r="CIO116" s="1"/>
      <c r="CIP116" s="1"/>
      <c r="CIQ116" s="1"/>
      <c r="CIR116" s="1"/>
      <c r="CIS116" s="1"/>
      <c r="CIT116" s="1"/>
      <c r="CIU116" s="1"/>
      <c r="CIV116" s="1"/>
      <c r="CIW116" s="1"/>
      <c r="CIX116" s="1"/>
      <c r="CIY116" s="1"/>
      <c r="CIZ116" s="1"/>
      <c r="CJA116" s="1"/>
      <c r="CJB116" s="1"/>
      <c r="CJC116" s="1"/>
      <c r="CJD116" s="1"/>
      <c r="CJE116" s="1"/>
      <c r="CJF116" s="1"/>
      <c r="CJG116" s="1"/>
      <c r="CJH116" s="1"/>
      <c r="CJI116" s="1"/>
      <c r="CJJ116" s="1"/>
      <c r="CJK116" s="1"/>
      <c r="CJL116" s="1"/>
      <c r="CJM116" s="1"/>
      <c r="CJN116" s="1"/>
      <c r="CJO116" s="1"/>
      <c r="CJP116" s="1"/>
      <c r="CJQ116" s="1"/>
      <c r="CJR116" s="1"/>
      <c r="CJS116" s="1"/>
      <c r="CJT116" s="1"/>
      <c r="CJU116" s="1"/>
      <c r="CJV116" s="1"/>
      <c r="CJW116" s="1"/>
      <c r="CJX116" s="1"/>
      <c r="CJY116" s="1"/>
      <c r="CJZ116" s="1"/>
      <c r="CKA116" s="1"/>
      <c r="CKB116" s="1"/>
      <c r="CKC116" s="1"/>
      <c r="CKD116" s="1"/>
      <c r="CKE116" s="1"/>
      <c r="CKF116" s="1"/>
      <c r="CKG116" s="1"/>
      <c r="CKH116" s="1"/>
      <c r="CKI116" s="1"/>
      <c r="CKJ116" s="1"/>
      <c r="CKK116" s="1"/>
      <c r="CKL116" s="1"/>
      <c r="CKM116" s="1"/>
      <c r="CKN116" s="1"/>
      <c r="CKO116" s="1"/>
      <c r="CKP116" s="1"/>
      <c r="CKQ116" s="1"/>
      <c r="CKR116" s="1"/>
      <c r="CKS116" s="1"/>
      <c r="CKT116" s="1"/>
      <c r="CKU116" s="1"/>
      <c r="CKV116" s="1"/>
      <c r="CKW116" s="1"/>
      <c r="CKX116" s="1"/>
      <c r="CKY116" s="1"/>
      <c r="CKZ116" s="1"/>
      <c r="CLA116" s="1"/>
      <c r="CLB116" s="1"/>
      <c r="CLC116" s="1"/>
      <c r="CLD116" s="1"/>
      <c r="CLE116" s="1"/>
      <c r="CLF116" s="1"/>
      <c r="CLG116" s="1"/>
      <c r="CLH116" s="1"/>
      <c r="CLI116" s="1"/>
      <c r="CLJ116" s="1"/>
      <c r="CLK116" s="1"/>
      <c r="CLL116" s="1"/>
      <c r="CLM116" s="1"/>
      <c r="CLN116" s="1"/>
      <c r="CLO116" s="1"/>
      <c r="CLP116" s="1"/>
      <c r="CLQ116" s="1"/>
      <c r="CLR116" s="1"/>
      <c r="CLS116" s="1"/>
      <c r="CLT116" s="1"/>
      <c r="CLU116" s="1"/>
      <c r="CLV116" s="1"/>
      <c r="CLW116" s="1"/>
      <c r="CLX116" s="1"/>
      <c r="CLY116" s="1"/>
      <c r="CLZ116" s="1"/>
      <c r="CMA116" s="1"/>
      <c r="CMB116" s="1"/>
      <c r="CMC116" s="1"/>
      <c r="CMD116" s="1"/>
      <c r="CME116" s="1"/>
      <c r="CMF116" s="1"/>
      <c r="CMG116" s="1"/>
      <c r="CMH116" s="1"/>
      <c r="CMI116" s="1"/>
      <c r="CMJ116" s="1"/>
      <c r="CMK116" s="1"/>
      <c r="CML116" s="1"/>
      <c r="CMM116" s="1"/>
      <c r="CMN116" s="1"/>
      <c r="CMO116" s="1"/>
      <c r="CMP116" s="1"/>
      <c r="CMQ116" s="1"/>
      <c r="CMR116" s="1"/>
      <c r="CMS116" s="1"/>
      <c r="CMT116" s="1"/>
      <c r="CMU116" s="1"/>
      <c r="CMV116" s="1"/>
      <c r="CMW116" s="1"/>
      <c r="CMX116" s="1"/>
      <c r="CMY116" s="1"/>
      <c r="CMZ116" s="1"/>
      <c r="CNA116" s="1"/>
      <c r="CNB116" s="1"/>
      <c r="CNC116" s="1"/>
      <c r="CND116" s="1"/>
      <c r="CNE116" s="1"/>
      <c r="CNF116" s="1"/>
      <c r="CNG116" s="1"/>
      <c r="CNH116" s="1"/>
      <c r="CNI116" s="1"/>
      <c r="CNJ116" s="1"/>
      <c r="CNK116" s="1"/>
      <c r="CNL116" s="1"/>
      <c r="CNM116" s="1"/>
      <c r="CNN116" s="1"/>
      <c r="CNO116" s="1"/>
      <c r="CNP116" s="1"/>
      <c r="CNQ116" s="1"/>
      <c r="CNR116" s="1"/>
      <c r="CNS116" s="1"/>
      <c r="CNT116" s="1"/>
      <c r="CNU116" s="1"/>
      <c r="CNV116" s="1"/>
      <c r="CNW116" s="1"/>
      <c r="CNX116" s="1"/>
      <c r="CNY116" s="1"/>
      <c r="CNZ116" s="1"/>
      <c r="COA116" s="1"/>
      <c r="COB116" s="1"/>
      <c r="COC116" s="1"/>
      <c r="COD116" s="1"/>
      <c r="COE116" s="1"/>
      <c r="COF116" s="1"/>
      <c r="COG116" s="1"/>
      <c r="COH116" s="1"/>
      <c r="COI116" s="1"/>
      <c r="COJ116" s="1"/>
      <c r="COK116" s="1"/>
      <c r="COL116" s="1"/>
      <c r="COM116" s="1"/>
      <c r="CON116" s="1"/>
      <c r="COO116" s="1"/>
      <c r="COP116" s="1"/>
      <c r="COQ116" s="1"/>
      <c r="COR116" s="1"/>
      <c r="COS116" s="1"/>
      <c r="COT116" s="1"/>
      <c r="COU116" s="1"/>
      <c r="COV116" s="1"/>
      <c r="COW116" s="1"/>
      <c r="COX116" s="1"/>
      <c r="COY116" s="1"/>
      <c r="COZ116" s="1"/>
      <c r="CPA116" s="1"/>
      <c r="CPB116" s="1"/>
      <c r="CPC116" s="1"/>
      <c r="CPD116" s="1"/>
      <c r="CPE116" s="1"/>
      <c r="CPF116" s="1"/>
      <c r="CPG116" s="1"/>
      <c r="CPH116" s="1"/>
      <c r="CPI116" s="1"/>
      <c r="CPJ116" s="1"/>
      <c r="CPK116" s="1"/>
      <c r="CPL116" s="1"/>
      <c r="CPM116" s="1"/>
      <c r="CPN116" s="1"/>
      <c r="CPO116" s="1"/>
      <c r="CPP116" s="1"/>
      <c r="CPQ116" s="1"/>
      <c r="CPR116" s="1"/>
      <c r="CPS116" s="1"/>
      <c r="CPT116" s="1"/>
      <c r="CPU116" s="1"/>
      <c r="CPV116" s="1"/>
      <c r="CPW116" s="1"/>
      <c r="CPX116" s="1"/>
      <c r="CPY116" s="1"/>
      <c r="CPZ116" s="1"/>
      <c r="CQA116" s="1"/>
      <c r="CQB116" s="1"/>
      <c r="CQC116" s="1"/>
      <c r="CQD116" s="1"/>
      <c r="CQE116" s="1"/>
      <c r="CQF116" s="1"/>
      <c r="CQG116" s="1"/>
      <c r="CQH116" s="1"/>
      <c r="CQI116" s="1"/>
      <c r="CQJ116" s="1"/>
      <c r="CQK116" s="1"/>
      <c r="CQL116" s="1"/>
      <c r="CQM116" s="1"/>
      <c r="CQN116" s="1"/>
      <c r="CQO116" s="1"/>
      <c r="CQP116" s="1"/>
      <c r="CQQ116" s="1"/>
      <c r="CQR116" s="1"/>
      <c r="CQS116" s="1"/>
      <c r="CQT116" s="1"/>
      <c r="CQU116" s="1"/>
      <c r="CQV116" s="1"/>
      <c r="CQW116" s="1"/>
      <c r="CQX116" s="1"/>
      <c r="CQY116" s="1"/>
      <c r="CQZ116" s="1"/>
      <c r="CRA116" s="1"/>
      <c r="CRB116" s="1"/>
      <c r="CRC116" s="1"/>
      <c r="CRD116" s="1"/>
      <c r="CRE116" s="1"/>
      <c r="CRF116" s="1"/>
      <c r="CRG116" s="1"/>
      <c r="CRH116" s="1"/>
      <c r="CRI116" s="1"/>
      <c r="CRJ116" s="1"/>
      <c r="CRK116" s="1"/>
      <c r="CRL116" s="1"/>
      <c r="CRM116" s="1"/>
      <c r="CRN116" s="1"/>
      <c r="CRO116" s="1"/>
      <c r="CRP116" s="1"/>
      <c r="CRQ116" s="1"/>
      <c r="CRR116" s="1"/>
      <c r="CRS116" s="1"/>
      <c r="CRT116" s="1"/>
      <c r="CRU116" s="1"/>
      <c r="CRV116" s="1"/>
      <c r="CRW116" s="1"/>
      <c r="CRX116" s="1"/>
      <c r="CRY116" s="1"/>
      <c r="CRZ116" s="1"/>
      <c r="CSA116" s="1"/>
      <c r="CSB116" s="1"/>
      <c r="CSC116" s="1"/>
      <c r="CSD116" s="1"/>
      <c r="CSE116" s="1"/>
      <c r="CSF116" s="1"/>
      <c r="CSG116" s="1"/>
      <c r="CSH116" s="1"/>
      <c r="CSI116" s="1"/>
      <c r="CSJ116" s="1"/>
      <c r="CSK116" s="1"/>
      <c r="CSL116" s="1"/>
      <c r="CSM116" s="1"/>
      <c r="CSN116" s="1"/>
      <c r="CSO116" s="1"/>
      <c r="CSP116" s="1"/>
      <c r="CSQ116" s="1"/>
      <c r="CSR116" s="1"/>
      <c r="CSS116" s="1"/>
      <c r="CST116" s="1"/>
      <c r="CSU116" s="1"/>
      <c r="CSV116" s="1"/>
      <c r="CSW116" s="1"/>
      <c r="CSX116" s="1"/>
      <c r="CSY116" s="1"/>
      <c r="CSZ116" s="1"/>
      <c r="CTA116" s="1"/>
      <c r="CTB116" s="1"/>
      <c r="CTC116" s="1"/>
      <c r="CTD116" s="1"/>
      <c r="CTE116" s="1"/>
      <c r="CTF116" s="1"/>
      <c r="CTG116" s="1"/>
      <c r="CTH116" s="1"/>
      <c r="CTI116" s="1"/>
      <c r="CTJ116" s="1"/>
      <c r="CTK116" s="1"/>
      <c r="CTL116" s="1"/>
      <c r="CTM116" s="1"/>
      <c r="CTN116" s="1"/>
      <c r="CTO116" s="1"/>
      <c r="CTP116" s="1"/>
      <c r="CTQ116" s="1"/>
      <c r="CTR116" s="1"/>
      <c r="CTS116" s="1"/>
      <c r="CTT116" s="1"/>
      <c r="CTU116" s="1"/>
      <c r="CTV116" s="1"/>
      <c r="CTW116" s="1"/>
      <c r="CTX116" s="1"/>
      <c r="CTY116" s="1"/>
      <c r="CTZ116" s="1"/>
      <c r="CUA116" s="1"/>
      <c r="CUB116" s="1"/>
      <c r="CUC116" s="1"/>
      <c r="CUD116" s="1"/>
      <c r="CUE116" s="1"/>
      <c r="CUF116" s="1"/>
      <c r="CUG116" s="1"/>
      <c r="CUH116" s="1"/>
      <c r="CUI116" s="1"/>
      <c r="CUJ116" s="1"/>
      <c r="CUK116" s="1"/>
      <c r="CUL116" s="1"/>
      <c r="CUM116" s="1"/>
      <c r="CUN116" s="1"/>
      <c r="CUO116" s="1"/>
      <c r="CUP116" s="1"/>
      <c r="CUQ116" s="1"/>
      <c r="CUR116" s="1"/>
      <c r="CUS116" s="1"/>
      <c r="CUT116" s="1"/>
      <c r="CUU116" s="1"/>
      <c r="CUV116" s="1"/>
      <c r="CUW116" s="1"/>
      <c r="CUX116" s="1"/>
      <c r="CUY116" s="1"/>
      <c r="CUZ116" s="1"/>
      <c r="CVA116" s="1"/>
      <c r="CVB116" s="1"/>
      <c r="CVC116" s="1"/>
      <c r="CVD116" s="1"/>
      <c r="CVE116" s="1"/>
      <c r="CVF116" s="1"/>
      <c r="CVG116" s="1"/>
      <c r="CVH116" s="1"/>
      <c r="CVI116" s="1"/>
      <c r="CVJ116" s="1"/>
      <c r="CVK116" s="1"/>
      <c r="CVL116" s="1"/>
      <c r="CVM116" s="1"/>
      <c r="CVN116" s="1"/>
      <c r="CVO116" s="1"/>
      <c r="CVP116" s="1"/>
      <c r="CVQ116" s="1"/>
      <c r="CVR116" s="1"/>
      <c r="CVS116" s="1"/>
      <c r="CVT116" s="1"/>
      <c r="CVU116" s="1"/>
      <c r="CVV116" s="1"/>
      <c r="CVW116" s="1"/>
      <c r="CVX116" s="1"/>
      <c r="CVY116" s="1"/>
      <c r="CVZ116" s="1"/>
      <c r="CWA116" s="1"/>
      <c r="CWB116" s="1"/>
      <c r="CWC116" s="1"/>
      <c r="CWD116" s="1"/>
      <c r="CWE116" s="1"/>
      <c r="CWF116" s="1"/>
      <c r="CWG116" s="1"/>
      <c r="CWH116" s="1"/>
      <c r="CWI116" s="1"/>
      <c r="CWJ116" s="1"/>
      <c r="CWK116" s="1"/>
      <c r="CWL116" s="1"/>
      <c r="CWM116" s="1"/>
      <c r="CWN116" s="1"/>
      <c r="CWO116" s="1"/>
      <c r="CWP116" s="1"/>
      <c r="CWQ116" s="1"/>
      <c r="CWR116" s="1"/>
      <c r="CWS116" s="1"/>
      <c r="CWT116" s="1"/>
      <c r="CWU116" s="1"/>
      <c r="CWV116" s="1"/>
      <c r="CWW116" s="1"/>
      <c r="CWX116" s="1"/>
      <c r="CWY116" s="1"/>
      <c r="CWZ116" s="1"/>
      <c r="CXA116" s="1"/>
      <c r="CXB116" s="1"/>
      <c r="CXC116" s="1"/>
      <c r="CXD116" s="1"/>
      <c r="CXE116" s="1"/>
      <c r="CXF116" s="1"/>
      <c r="CXG116" s="1"/>
      <c r="CXH116" s="1"/>
      <c r="CXI116" s="1"/>
      <c r="CXJ116" s="1"/>
      <c r="CXK116" s="1"/>
      <c r="CXL116" s="1"/>
      <c r="CXM116" s="1"/>
      <c r="CXN116" s="1"/>
      <c r="CXO116" s="1"/>
      <c r="CXP116" s="1"/>
      <c r="CXQ116" s="1"/>
      <c r="CXR116" s="1"/>
      <c r="CXS116" s="1"/>
      <c r="CXT116" s="1"/>
      <c r="CXU116" s="1"/>
      <c r="CXV116" s="1"/>
      <c r="CXW116" s="1"/>
      <c r="CXX116" s="1"/>
      <c r="CXY116" s="1"/>
      <c r="CXZ116" s="1"/>
      <c r="CYA116" s="1"/>
      <c r="CYB116" s="1"/>
      <c r="CYC116" s="1"/>
      <c r="CYD116" s="1"/>
      <c r="CYE116" s="1"/>
      <c r="CYF116" s="1"/>
      <c r="CYG116" s="1"/>
      <c r="CYH116" s="1"/>
      <c r="CYI116" s="1"/>
      <c r="CYJ116" s="1"/>
      <c r="CYK116" s="1"/>
      <c r="CYL116" s="1"/>
      <c r="CYM116" s="1"/>
      <c r="CYN116" s="1"/>
      <c r="CYO116" s="1"/>
      <c r="CYP116" s="1"/>
      <c r="CYQ116" s="1"/>
      <c r="CYR116" s="1"/>
      <c r="CYS116" s="1"/>
      <c r="CYT116" s="1"/>
      <c r="CYU116" s="1"/>
      <c r="CYV116" s="1"/>
      <c r="CYW116" s="1"/>
      <c r="CYX116" s="1"/>
      <c r="CYY116" s="1"/>
      <c r="CYZ116" s="1"/>
      <c r="CZA116" s="1"/>
      <c r="CZB116" s="1"/>
      <c r="CZC116" s="1"/>
      <c r="CZD116" s="1"/>
      <c r="CZE116" s="1"/>
      <c r="CZF116" s="1"/>
      <c r="CZG116" s="1"/>
      <c r="CZH116" s="1"/>
      <c r="CZI116" s="1"/>
      <c r="CZJ116" s="1"/>
      <c r="CZK116" s="1"/>
      <c r="CZL116" s="1"/>
      <c r="CZM116" s="1"/>
      <c r="CZN116" s="1"/>
      <c r="CZO116" s="1"/>
      <c r="CZP116" s="1"/>
      <c r="CZQ116" s="1"/>
      <c r="CZR116" s="1"/>
      <c r="CZS116" s="1"/>
      <c r="CZT116" s="1"/>
      <c r="CZU116" s="1"/>
      <c r="CZV116" s="1"/>
      <c r="CZW116" s="1"/>
      <c r="CZX116" s="1"/>
      <c r="CZY116" s="1"/>
      <c r="CZZ116" s="1"/>
      <c r="DAA116" s="1"/>
      <c r="DAB116" s="1"/>
      <c r="DAC116" s="1"/>
      <c r="DAD116" s="1"/>
      <c r="DAE116" s="1"/>
      <c r="DAF116" s="1"/>
      <c r="DAG116" s="1"/>
      <c r="DAH116" s="1"/>
      <c r="DAI116" s="1"/>
      <c r="DAJ116" s="1"/>
      <c r="DAK116" s="1"/>
      <c r="DAL116" s="1"/>
      <c r="DAM116" s="1"/>
      <c r="DAN116" s="1"/>
      <c r="DAO116" s="1"/>
      <c r="DAP116" s="1"/>
      <c r="DAQ116" s="1"/>
      <c r="DAR116" s="1"/>
      <c r="DAS116" s="1"/>
      <c r="DAT116" s="1"/>
      <c r="DAU116" s="1"/>
      <c r="DAV116" s="1"/>
      <c r="DAW116" s="1"/>
      <c r="DAX116" s="1"/>
      <c r="DAY116" s="1"/>
      <c r="DAZ116" s="1"/>
      <c r="DBA116" s="1"/>
      <c r="DBB116" s="1"/>
      <c r="DBC116" s="1"/>
      <c r="DBD116" s="1"/>
      <c r="DBE116" s="1"/>
      <c r="DBF116" s="1"/>
      <c r="DBG116" s="1"/>
      <c r="DBH116" s="1"/>
      <c r="DBI116" s="1"/>
      <c r="DBJ116" s="1"/>
      <c r="DBK116" s="1"/>
      <c r="DBL116" s="1"/>
      <c r="DBM116" s="1"/>
      <c r="DBN116" s="1"/>
      <c r="DBO116" s="1"/>
      <c r="DBP116" s="1"/>
      <c r="DBQ116" s="1"/>
      <c r="DBR116" s="1"/>
      <c r="DBS116" s="1"/>
      <c r="DBT116" s="1"/>
      <c r="DBU116" s="1"/>
      <c r="DBV116" s="1"/>
      <c r="DBW116" s="1"/>
      <c r="DBX116" s="1"/>
      <c r="DBY116" s="1"/>
      <c r="DBZ116" s="1"/>
      <c r="DCA116" s="1"/>
      <c r="DCB116" s="1"/>
      <c r="DCC116" s="1"/>
      <c r="DCD116" s="1"/>
      <c r="DCE116" s="1"/>
      <c r="DCF116" s="1"/>
      <c r="DCG116" s="1"/>
      <c r="DCH116" s="1"/>
      <c r="DCI116" s="1"/>
      <c r="DCJ116" s="1"/>
      <c r="DCK116" s="1"/>
      <c r="DCL116" s="1"/>
      <c r="DCM116" s="1"/>
      <c r="DCN116" s="1"/>
      <c r="DCO116" s="1"/>
      <c r="DCP116" s="1"/>
      <c r="DCQ116" s="1"/>
      <c r="DCR116" s="1"/>
      <c r="DCS116" s="1"/>
      <c r="DCT116" s="1"/>
      <c r="DCU116" s="1"/>
      <c r="DCV116" s="1"/>
      <c r="DCW116" s="1"/>
      <c r="DCX116" s="1"/>
      <c r="DCY116" s="1"/>
      <c r="DCZ116" s="1"/>
      <c r="DDA116" s="1"/>
      <c r="DDB116" s="1"/>
      <c r="DDC116" s="1"/>
      <c r="DDD116" s="1"/>
      <c r="DDE116" s="1"/>
      <c r="DDF116" s="1"/>
      <c r="DDG116" s="1"/>
      <c r="DDH116" s="1"/>
      <c r="DDI116" s="1"/>
      <c r="DDJ116" s="1"/>
      <c r="DDK116" s="1"/>
      <c r="DDL116" s="1"/>
      <c r="DDM116" s="1"/>
      <c r="DDN116" s="1"/>
      <c r="DDO116" s="1"/>
      <c r="DDP116" s="1"/>
      <c r="DDQ116" s="1"/>
      <c r="DDR116" s="1"/>
      <c r="DDS116" s="1"/>
      <c r="DDT116" s="1"/>
      <c r="DDU116" s="1"/>
      <c r="DDV116" s="1"/>
      <c r="DDW116" s="1"/>
      <c r="DDX116" s="1"/>
      <c r="DDY116" s="1"/>
      <c r="DDZ116" s="1"/>
      <c r="DEA116" s="1"/>
      <c r="DEB116" s="1"/>
      <c r="DEC116" s="1"/>
      <c r="DED116" s="1"/>
      <c r="DEE116" s="1"/>
      <c r="DEF116" s="1"/>
      <c r="DEG116" s="1"/>
      <c r="DEH116" s="1"/>
      <c r="DEI116" s="1"/>
      <c r="DEJ116" s="1"/>
      <c r="DEK116" s="1"/>
      <c r="DEL116" s="1"/>
      <c r="DEM116" s="1"/>
      <c r="DEN116" s="1"/>
      <c r="DEO116" s="1"/>
      <c r="DEP116" s="1"/>
      <c r="DEQ116" s="1"/>
      <c r="DER116" s="1"/>
      <c r="DES116" s="1"/>
      <c r="DET116" s="1"/>
      <c r="DEU116" s="1"/>
      <c r="DEV116" s="1"/>
      <c r="DEW116" s="1"/>
      <c r="DEX116" s="1"/>
      <c r="DEY116" s="1"/>
      <c r="DEZ116" s="1"/>
      <c r="DFA116" s="1"/>
      <c r="DFB116" s="1"/>
      <c r="DFC116" s="1"/>
      <c r="DFD116" s="1"/>
      <c r="DFE116" s="1"/>
      <c r="DFF116" s="1"/>
      <c r="DFG116" s="1"/>
      <c r="DFH116" s="1"/>
      <c r="DFI116" s="1"/>
      <c r="DFJ116" s="1"/>
      <c r="DFK116" s="1"/>
      <c r="DFL116" s="1"/>
      <c r="DFM116" s="1"/>
      <c r="DFN116" s="1"/>
      <c r="DFO116" s="1"/>
      <c r="DFP116" s="1"/>
      <c r="DFQ116" s="1"/>
      <c r="DFR116" s="1"/>
      <c r="DFS116" s="1"/>
      <c r="DFT116" s="1"/>
      <c r="DFU116" s="1"/>
      <c r="DFV116" s="1"/>
      <c r="DFW116" s="1"/>
      <c r="DFX116" s="1"/>
      <c r="DFY116" s="1"/>
      <c r="DFZ116" s="1"/>
      <c r="DGA116" s="1"/>
      <c r="DGB116" s="1"/>
      <c r="DGC116" s="1"/>
      <c r="DGD116" s="1"/>
      <c r="DGE116" s="1"/>
      <c r="DGF116" s="1"/>
      <c r="DGG116" s="1"/>
      <c r="DGH116" s="1"/>
      <c r="DGI116" s="1"/>
      <c r="DGJ116" s="1"/>
      <c r="DGK116" s="1"/>
      <c r="DGL116" s="1"/>
      <c r="DGM116" s="1"/>
      <c r="DGN116" s="1"/>
      <c r="DGO116" s="1"/>
      <c r="DGP116" s="1"/>
      <c r="DGQ116" s="1"/>
      <c r="DGR116" s="1"/>
      <c r="DGS116" s="1"/>
      <c r="DGT116" s="1"/>
      <c r="DGU116" s="1"/>
      <c r="DGV116" s="1"/>
      <c r="DGW116" s="1"/>
      <c r="DGX116" s="1"/>
      <c r="DGY116" s="1"/>
      <c r="DGZ116" s="1"/>
      <c r="DHA116" s="1"/>
      <c r="DHB116" s="1"/>
      <c r="DHC116" s="1"/>
      <c r="DHD116" s="1"/>
      <c r="DHE116" s="1"/>
      <c r="DHF116" s="1"/>
      <c r="DHG116" s="1"/>
      <c r="DHH116" s="1"/>
      <c r="DHI116" s="1"/>
      <c r="DHJ116" s="1"/>
      <c r="DHK116" s="1"/>
      <c r="DHL116" s="1"/>
      <c r="DHM116" s="1"/>
      <c r="DHN116" s="1"/>
      <c r="DHO116" s="1"/>
      <c r="DHP116" s="1"/>
      <c r="DHQ116" s="1"/>
      <c r="DHR116" s="1"/>
      <c r="DHS116" s="1"/>
      <c r="DHT116" s="1"/>
      <c r="DHU116" s="1"/>
      <c r="DHV116" s="1"/>
      <c r="DHW116" s="1"/>
      <c r="DHX116" s="1"/>
      <c r="DHY116" s="1"/>
      <c r="DHZ116" s="1"/>
      <c r="DIA116" s="1"/>
      <c r="DIB116" s="1"/>
      <c r="DIC116" s="1"/>
      <c r="DID116" s="1"/>
      <c r="DIE116" s="1"/>
      <c r="DIF116" s="1"/>
      <c r="DIG116" s="1"/>
      <c r="DIH116" s="1"/>
      <c r="DII116" s="1"/>
      <c r="DIJ116" s="1"/>
      <c r="DIK116" s="1"/>
      <c r="DIL116" s="1"/>
      <c r="DIM116" s="1"/>
      <c r="DIN116" s="1"/>
      <c r="DIO116" s="1"/>
      <c r="DIP116" s="1"/>
      <c r="DIQ116" s="1"/>
      <c r="DIR116" s="1"/>
      <c r="DIS116" s="1"/>
      <c r="DIT116" s="1"/>
      <c r="DIU116" s="1"/>
      <c r="DIV116" s="1"/>
      <c r="DIW116" s="1"/>
      <c r="DIX116" s="1"/>
      <c r="DIY116" s="1"/>
      <c r="DIZ116" s="1"/>
      <c r="DJA116" s="1"/>
      <c r="DJB116" s="1"/>
      <c r="DJC116" s="1"/>
      <c r="DJD116" s="1"/>
      <c r="DJE116" s="1"/>
      <c r="DJF116" s="1"/>
      <c r="DJG116" s="1"/>
      <c r="DJH116" s="1"/>
      <c r="DJI116" s="1"/>
      <c r="DJJ116" s="1"/>
      <c r="DJK116" s="1"/>
      <c r="DJL116" s="1"/>
      <c r="DJM116" s="1"/>
      <c r="DJN116" s="1"/>
      <c r="DJO116" s="1"/>
      <c r="DJP116" s="1"/>
      <c r="DJQ116" s="1"/>
      <c r="DJR116" s="1"/>
      <c r="DJS116" s="1"/>
      <c r="DJT116" s="1"/>
      <c r="DJU116" s="1"/>
      <c r="DJV116" s="1"/>
      <c r="DJW116" s="1"/>
      <c r="DJX116" s="1"/>
      <c r="DJY116" s="1"/>
      <c r="DJZ116" s="1"/>
      <c r="DKA116" s="1"/>
      <c r="DKB116" s="1"/>
      <c r="DKC116" s="1"/>
      <c r="DKD116" s="1"/>
      <c r="DKE116" s="1"/>
      <c r="DKF116" s="1"/>
      <c r="DKG116" s="1"/>
      <c r="DKH116" s="1"/>
      <c r="DKI116" s="1"/>
      <c r="DKJ116" s="1"/>
      <c r="DKK116" s="1"/>
      <c r="DKL116" s="1"/>
      <c r="DKM116" s="1"/>
      <c r="DKN116" s="1"/>
      <c r="DKO116" s="1"/>
      <c r="DKP116" s="1"/>
      <c r="DKQ116" s="1"/>
      <c r="DKR116" s="1"/>
      <c r="DKS116" s="1"/>
      <c r="DKT116" s="1"/>
      <c r="DKU116" s="1"/>
      <c r="DKV116" s="1"/>
      <c r="DKW116" s="1"/>
      <c r="DKX116" s="1"/>
      <c r="DKY116" s="1"/>
      <c r="DKZ116" s="1"/>
      <c r="DLA116" s="1"/>
      <c r="DLB116" s="1"/>
      <c r="DLC116" s="1"/>
      <c r="DLD116" s="1"/>
      <c r="DLE116" s="1"/>
      <c r="DLF116" s="1"/>
      <c r="DLG116" s="1"/>
      <c r="DLH116" s="1"/>
      <c r="DLI116" s="1"/>
      <c r="DLJ116" s="1"/>
      <c r="DLK116" s="1"/>
      <c r="DLL116" s="1"/>
      <c r="DLM116" s="1"/>
      <c r="DLN116" s="1"/>
      <c r="DLO116" s="1"/>
      <c r="DLP116" s="1"/>
      <c r="DLQ116" s="1"/>
      <c r="DLR116" s="1"/>
      <c r="DLS116" s="1"/>
      <c r="DLT116" s="1"/>
      <c r="DLU116" s="1"/>
      <c r="DLV116" s="1"/>
      <c r="DLW116" s="1"/>
      <c r="DLX116" s="1"/>
      <c r="DLY116" s="1"/>
      <c r="DLZ116" s="1"/>
      <c r="DMA116" s="1"/>
      <c r="DMB116" s="1"/>
      <c r="DMC116" s="1"/>
      <c r="DMD116" s="1"/>
      <c r="DME116" s="1"/>
      <c r="DMF116" s="1"/>
      <c r="DMG116" s="1"/>
      <c r="DMH116" s="1"/>
      <c r="DMI116" s="1"/>
      <c r="DMJ116" s="1"/>
      <c r="DMK116" s="1"/>
      <c r="DML116" s="1"/>
      <c r="DMM116" s="1"/>
      <c r="DMN116" s="1"/>
      <c r="DMO116" s="1"/>
      <c r="DMP116" s="1"/>
      <c r="DMQ116" s="1"/>
      <c r="DMR116" s="1"/>
      <c r="DMS116" s="1"/>
      <c r="DMT116" s="1"/>
      <c r="DMU116" s="1"/>
      <c r="DMV116" s="1"/>
      <c r="DMW116" s="1"/>
      <c r="DMX116" s="1"/>
      <c r="DMY116" s="1"/>
      <c r="DMZ116" s="1"/>
      <c r="DNA116" s="1"/>
      <c r="DNB116" s="1"/>
      <c r="DNC116" s="1"/>
      <c r="DND116" s="1"/>
      <c r="DNE116" s="1"/>
      <c r="DNF116" s="1"/>
      <c r="DNG116" s="1"/>
      <c r="DNH116" s="1"/>
      <c r="DNI116" s="1"/>
      <c r="DNJ116" s="1"/>
      <c r="DNK116" s="1"/>
      <c r="DNL116" s="1"/>
      <c r="DNM116" s="1"/>
      <c r="DNN116" s="1"/>
      <c r="DNO116" s="1"/>
      <c r="DNP116" s="1"/>
      <c r="DNQ116" s="1"/>
      <c r="DNR116" s="1"/>
      <c r="DNS116" s="1"/>
      <c r="DNT116" s="1"/>
      <c r="DNU116" s="1"/>
      <c r="DNV116" s="1"/>
      <c r="DNW116" s="1"/>
      <c r="DNX116" s="1"/>
      <c r="DNY116" s="1"/>
      <c r="DNZ116" s="1"/>
      <c r="DOA116" s="1"/>
      <c r="DOB116" s="1"/>
      <c r="DOC116" s="1"/>
      <c r="DOD116" s="1"/>
      <c r="DOE116" s="1"/>
      <c r="DOF116" s="1"/>
      <c r="DOG116" s="1"/>
      <c r="DOH116" s="1"/>
      <c r="DOI116" s="1"/>
      <c r="DOJ116" s="1"/>
      <c r="DOK116" s="1"/>
      <c r="DOL116" s="1"/>
      <c r="DOM116" s="1"/>
      <c r="DON116" s="1"/>
      <c r="DOO116" s="1"/>
      <c r="DOP116" s="1"/>
      <c r="DOQ116" s="1"/>
      <c r="DOR116" s="1"/>
      <c r="DOS116" s="1"/>
      <c r="DOT116" s="1"/>
      <c r="DOU116" s="1"/>
      <c r="DOV116" s="1"/>
      <c r="DOW116" s="1"/>
      <c r="DOX116" s="1"/>
      <c r="DOY116" s="1"/>
      <c r="DOZ116" s="1"/>
      <c r="DPA116" s="1"/>
      <c r="DPB116" s="1"/>
      <c r="DPC116" s="1"/>
      <c r="DPD116" s="1"/>
      <c r="DPE116" s="1"/>
      <c r="DPF116" s="1"/>
      <c r="DPG116" s="1"/>
      <c r="DPH116" s="1"/>
      <c r="DPI116" s="1"/>
      <c r="DPJ116" s="1"/>
      <c r="DPK116" s="1"/>
      <c r="DPL116" s="1"/>
      <c r="DPM116" s="1"/>
      <c r="DPN116" s="1"/>
      <c r="DPO116" s="1"/>
      <c r="DPP116" s="1"/>
      <c r="DPQ116" s="1"/>
      <c r="DPR116" s="1"/>
      <c r="DPS116" s="1"/>
      <c r="DPT116" s="1"/>
      <c r="DPU116" s="1"/>
      <c r="DPV116" s="1"/>
      <c r="DPW116" s="1"/>
      <c r="DPX116" s="1"/>
      <c r="DPY116" s="1"/>
      <c r="DPZ116" s="1"/>
      <c r="DQA116" s="1"/>
      <c r="DQB116" s="1"/>
      <c r="DQC116" s="1"/>
      <c r="DQD116" s="1"/>
      <c r="DQE116" s="1"/>
      <c r="DQF116" s="1"/>
      <c r="DQG116" s="1"/>
      <c r="DQH116" s="1"/>
      <c r="DQI116" s="1"/>
      <c r="DQJ116" s="1"/>
      <c r="DQK116" s="1"/>
      <c r="DQL116" s="1"/>
      <c r="DQM116" s="1"/>
      <c r="DQN116" s="1"/>
      <c r="DQO116" s="1"/>
      <c r="DQP116" s="1"/>
      <c r="DQQ116" s="1"/>
      <c r="DQR116" s="1"/>
      <c r="DQS116" s="1"/>
      <c r="DQT116" s="1"/>
      <c r="DQU116" s="1"/>
      <c r="DQV116" s="1"/>
      <c r="DQW116" s="1"/>
      <c r="DQX116" s="1"/>
      <c r="DQY116" s="1"/>
      <c r="DQZ116" s="1"/>
      <c r="DRA116" s="1"/>
      <c r="DRB116" s="1"/>
      <c r="DRC116" s="1"/>
      <c r="DRD116" s="1"/>
      <c r="DRE116" s="1"/>
      <c r="DRF116" s="1"/>
      <c r="DRG116" s="1"/>
      <c r="DRH116" s="1"/>
      <c r="DRI116" s="1"/>
      <c r="DRJ116" s="1"/>
      <c r="DRK116" s="1"/>
      <c r="DRL116" s="1"/>
      <c r="DRM116" s="1"/>
      <c r="DRN116" s="1"/>
      <c r="DRO116" s="1"/>
      <c r="DRP116" s="1"/>
      <c r="DRQ116" s="1"/>
      <c r="DRR116" s="1"/>
      <c r="DRS116" s="1"/>
      <c r="DRT116" s="1"/>
      <c r="DRU116" s="1"/>
      <c r="DRV116" s="1"/>
      <c r="DRW116" s="1"/>
      <c r="DRX116" s="1"/>
      <c r="DRY116" s="1"/>
      <c r="DRZ116" s="1"/>
      <c r="DSA116" s="1"/>
      <c r="DSB116" s="1"/>
      <c r="DSC116" s="1"/>
      <c r="DSD116" s="1"/>
      <c r="DSE116" s="1"/>
      <c r="DSF116" s="1"/>
      <c r="DSG116" s="1"/>
      <c r="DSH116" s="1"/>
      <c r="DSI116" s="1"/>
      <c r="DSJ116" s="1"/>
      <c r="DSK116" s="1"/>
      <c r="DSL116" s="1"/>
      <c r="DSM116" s="1"/>
      <c r="DSN116" s="1"/>
      <c r="DSO116" s="1"/>
      <c r="DSP116" s="1"/>
      <c r="DSQ116" s="1"/>
      <c r="DSR116" s="1"/>
      <c r="DSS116" s="1"/>
      <c r="DST116" s="1"/>
      <c r="DSU116" s="1"/>
      <c r="DSV116" s="1"/>
      <c r="DSW116" s="1"/>
      <c r="DSX116" s="1"/>
      <c r="DSY116" s="1"/>
      <c r="DSZ116" s="1"/>
      <c r="DTA116" s="1"/>
      <c r="DTB116" s="1"/>
      <c r="DTC116" s="1"/>
      <c r="DTD116" s="1"/>
      <c r="DTE116" s="1"/>
      <c r="DTF116" s="1"/>
      <c r="DTG116" s="1"/>
      <c r="DTH116" s="1"/>
      <c r="DTI116" s="1"/>
      <c r="DTJ116" s="1"/>
      <c r="DTK116" s="1"/>
      <c r="DTL116" s="1"/>
      <c r="DTM116" s="1"/>
      <c r="DTN116" s="1"/>
      <c r="DTO116" s="1"/>
      <c r="DTP116" s="1"/>
      <c r="DTQ116" s="1"/>
      <c r="DTR116" s="1"/>
      <c r="DTS116" s="1"/>
      <c r="DTT116" s="1"/>
      <c r="DTU116" s="1"/>
      <c r="DTV116" s="1"/>
      <c r="DTW116" s="1"/>
      <c r="DTX116" s="1"/>
      <c r="DTY116" s="1"/>
      <c r="DTZ116" s="1"/>
      <c r="DUA116" s="1"/>
      <c r="DUB116" s="1"/>
      <c r="DUC116" s="1"/>
      <c r="DUD116" s="1"/>
      <c r="DUE116" s="1"/>
      <c r="DUF116" s="1"/>
      <c r="DUG116" s="1"/>
      <c r="DUH116" s="1"/>
      <c r="DUI116" s="1"/>
      <c r="DUJ116" s="1"/>
      <c r="DUK116" s="1"/>
      <c r="DUL116" s="1"/>
      <c r="DUM116" s="1"/>
      <c r="DUN116" s="1"/>
      <c r="DUO116" s="1"/>
      <c r="DUP116" s="1"/>
      <c r="DUQ116" s="1"/>
      <c r="DUR116" s="1"/>
      <c r="DUS116" s="1"/>
      <c r="DUT116" s="1"/>
      <c r="DUU116" s="1"/>
      <c r="DUV116" s="1"/>
      <c r="DUW116" s="1"/>
      <c r="DUX116" s="1"/>
      <c r="DUY116" s="1"/>
      <c r="DUZ116" s="1"/>
      <c r="DVA116" s="1"/>
      <c r="DVB116" s="1"/>
      <c r="DVC116" s="1"/>
      <c r="DVD116" s="1"/>
      <c r="DVE116" s="1"/>
      <c r="DVF116" s="1"/>
      <c r="DVG116" s="1"/>
      <c r="DVH116" s="1"/>
      <c r="DVI116" s="1"/>
      <c r="DVJ116" s="1"/>
      <c r="DVK116" s="1"/>
      <c r="DVL116" s="1"/>
      <c r="DVM116" s="1"/>
      <c r="DVN116" s="1"/>
      <c r="DVO116" s="1"/>
      <c r="DVP116" s="1"/>
      <c r="DVQ116" s="1"/>
      <c r="DVR116" s="1"/>
      <c r="DVS116" s="1"/>
      <c r="DVT116" s="1"/>
      <c r="DVU116" s="1"/>
      <c r="DVV116" s="1"/>
      <c r="DVW116" s="1"/>
      <c r="DVX116" s="1"/>
      <c r="DVY116" s="1"/>
      <c r="DVZ116" s="1"/>
      <c r="DWA116" s="1"/>
      <c r="DWB116" s="1"/>
      <c r="DWC116" s="1"/>
      <c r="DWD116" s="1"/>
      <c r="DWE116" s="1"/>
      <c r="DWF116" s="1"/>
      <c r="DWG116" s="1"/>
      <c r="DWH116" s="1"/>
      <c r="DWI116" s="1"/>
      <c r="DWJ116" s="1"/>
      <c r="DWK116" s="1"/>
      <c r="DWL116" s="1"/>
      <c r="DWM116" s="1"/>
      <c r="DWN116" s="1"/>
      <c r="DWO116" s="1"/>
      <c r="DWP116" s="1"/>
      <c r="DWQ116" s="1"/>
      <c r="DWR116" s="1"/>
      <c r="DWS116" s="1"/>
      <c r="DWT116" s="1"/>
      <c r="DWU116" s="1"/>
      <c r="DWV116" s="1"/>
      <c r="DWW116" s="1"/>
      <c r="DWX116" s="1"/>
      <c r="DWY116" s="1"/>
      <c r="DWZ116" s="1"/>
      <c r="DXA116" s="1"/>
      <c r="DXB116" s="1"/>
      <c r="DXC116" s="1"/>
      <c r="DXD116" s="1"/>
      <c r="DXE116" s="1"/>
      <c r="DXF116" s="1"/>
      <c r="DXG116" s="1"/>
      <c r="DXH116" s="1"/>
      <c r="DXI116" s="1"/>
      <c r="DXJ116" s="1"/>
      <c r="DXK116" s="1"/>
      <c r="DXL116" s="1"/>
      <c r="DXM116" s="1"/>
      <c r="DXN116" s="1"/>
      <c r="DXO116" s="1"/>
      <c r="DXP116" s="1"/>
      <c r="DXQ116" s="1"/>
      <c r="DXR116" s="1"/>
      <c r="DXS116" s="1"/>
      <c r="DXT116" s="1"/>
      <c r="DXU116" s="1"/>
      <c r="DXV116" s="1"/>
      <c r="DXW116" s="1"/>
      <c r="DXX116" s="1"/>
      <c r="DXY116" s="1"/>
      <c r="DXZ116" s="1"/>
      <c r="DYA116" s="1"/>
      <c r="DYB116" s="1"/>
      <c r="DYC116" s="1"/>
      <c r="DYD116" s="1"/>
      <c r="DYE116" s="1"/>
      <c r="DYF116" s="1"/>
      <c r="DYG116" s="1"/>
      <c r="DYH116" s="1"/>
      <c r="DYI116" s="1"/>
      <c r="DYJ116" s="1"/>
      <c r="DYK116" s="1"/>
      <c r="DYL116" s="1"/>
      <c r="DYM116" s="1"/>
      <c r="DYN116" s="1"/>
      <c r="DYO116" s="1"/>
      <c r="DYP116" s="1"/>
      <c r="DYQ116" s="1"/>
      <c r="DYR116" s="1"/>
      <c r="DYS116" s="1"/>
      <c r="DYT116" s="1"/>
      <c r="DYU116" s="1"/>
      <c r="DYV116" s="1"/>
      <c r="DYW116" s="1"/>
      <c r="DYX116" s="1"/>
      <c r="DYY116" s="1"/>
      <c r="DYZ116" s="1"/>
      <c r="DZA116" s="1"/>
      <c r="DZB116" s="1"/>
      <c r="DZC116" s="1"/>
      <c r="DZD116" s="1"/>
      <c r="DZE116" s="1"/>
      <c r="DZF116" s="1"/>
      <c r="DZG116" s="1"/>
      <c r="DZH116" s="1"/>
      <c r="DZI116" s="1"/>
      <c r="DZJ116" s="1"/>
      <c r="DZK116" s="1"/>
      <c r="DZL116" s="1"/>
      <c r="DZM116" s="1"/>
      <c r="DZN116" s="1"/>
      <c r="DZO116" s="1"/>
      <c r="DZP116" s="1"/>
      <c r="DZQ116" s="1"/>
      <c r="DZR116" s="1"/>
      <c r="DZS116" s="1"/>
      <c r="DZT116" s="1"/>
      <c r="DZU116" s="1"/>
      <c r="DZV116" s="1"/>
      <c r="DZW116" s="1"/>
      <c r="DZX116" s="1"/>
      <c r="DZY116" s="1"/>
      <c r="DZZ116" s="1"/>
      <c r="EAA116" s="1"/>
      <c r="EAB116" s="1"/>
      <c r="EAC116" s="1"/>
      <c r="EAD116" s="1"/>
      <c r="EAE116" s="1"/>
      <c r="EAF116" s="1"/>
      <c r="EAG116" s="1"/>
      <c r="EAH116" s="1"/>
      <c r="EAI116" s="1"/>
      <c r="EAJ116" s="1"/>
      <c r="EAK116" s="1"/>
      <c r="EAL116" s="1"/>
      <c r="EAM116" s="1"/>
      <c r="EAN116" s="1"/>
      <c r="EAO116" s="1"/>
      <c r="EAP116" s="1"/>
      <c r="EAQ116" s="1"/>
      <c r="EAR116" s="1"/>
      <c r="EAS116" s="1"/>
      <c r="EAT116" s="1"/>
      <c r="EAU116" s="1"/>
      <c r="EAV116" s="1"/>
      <c r="EAW116" s="1"/>
      <c r="EAX116" s="1"/>
      <c r="EAY116" s="1"/>
      <c r="EAZ116" s="1"/>
      <c r="EBA116" s="1"/>
      <c r="EBB116" s="1"/>
      <c r="EBC116" s="1"/>
      <c r="EBD116" s="1"/>
      <c r="EBE116" s="1"/>
      <c r="EBF116" s="1"/>
      <c r="EBG116" s="1"/>
      <c r="EBH116" s="1"/>
      <c r="EBI116" s="1"/>
      <c r="EBJ116" s="1"/>
      <c r="EBK116" s="1"/>
      <c r="EBL116" s="1"/>
      <c r="EBM116" s="1"/>
      <c r="EBN116" s="1"/>
      <c r="EBO116" s="1"/>
      <c r="EBP116" s="1"/>
      <c r="EBQ116" s="1"/>
      <c r="EBR116" s="1"/>
      <c r="EBS116" s="1"/>
      <c r="EBT116" s="1"/>
      <c r="EBU116" s="1"/>
      <c r="EBV116" s="1"/>
      <c r="EBW116" s="1"/>
      <c r="EBX116" s="1"/>
      <c r="EBY116" s="1"/>
      <c r="EBZ116" s="1"/>
      <c r="ECA116" s="1"/>
      <c r="ECB116" s="1"/>
      <c r="ECC116" s="1"/>
      <c r="ECD116" s="1"/>
      <c r="ECE116" s="1"/>
      <c r="ECF116" s="1"/>
      <c r="ECG116" s="1"/>
      <c r="ECH116" s="1"/>
      <c r="ECI116" s="1"/>
      <c r="ECJ116" s="1"/>
      <c r="ECK116" s="1"/>
      <c r="ECL116" s="1"/>
      <c r="ECM116" s="1"/>
      <c r="ECN116" s="1"/>
      <c r="ECO116" s="1"/>
      <c r="ECP116" s="1"/>
      <c r="ECQ116" s="1"/>
      <c r="ECR116" s="1"/>
      <c r="ECS116" s="1"/>
      <c r="ECT116" s="1"/>
      <c r="ECU116" s="1"/>
      <c r="ECV116" s="1"/>
      <c r="ECW116" s="1"/>
      <c r="ECX116" s="1"/>
      <c r="ECY116" s="1"/>
      <c r="ECZ116" s="1"/>
      <c r="EDA116" s="1"/>
      <c r="EDB116" s="1"/>
      <c r="EDC116" s="1"/>
      <c r="EDD116" s="1"/>
      <c r="EDE116" s="1"/>
      <c r="EDF116" s="1"/>
      <c r="EDG116" s="1"/>
      <c r="EDH116" s="1"/>
      <c r="EDI116" s="1"/>
      <c r="EDJ116" s="1"/>
      <c r="EDK116" s="1"/>
      <c r="EDL116" s="1"/>
      <c r="EDM116" s="1"/>
      <c r="EDN116" s="1"/>
      <c r="EDO116" s="1"/>
      <c r="EDP116" s="1"/>
      <c r="EDQ116" s="1"/>
      <c r="EDR116" s="1"/>
      <c r="EDS116" s="1"/>
      <c r="EDT116" s="1"/>
      <c r="EDU116" s="1"/>
      <c r="EDV116" s="1"/>
      <c r="EDW116" s="1"/>
      <c r="EDX116" s="1"/>
      <c r="EDY116" s="1"/>
      <c r="EDZ116" s="1"/>
      <c r="EEA116" s="1"/>
      <c r="EEB116" s="1"/>
      <c r="EEC116" s="1"/>
      <c r="EED116" s="1"/>
      <c r="EEE116" s="1"/>
      <c r="EEF116" s="1"/>
      <c r="EEG116" s="1"/>
      <c r="EEH116" s="1"/>
      <c r="EEI116" s="1"/>
      <c r="EEJ116" s="1"/>
      <c r="EEK116" s="1"/>
      <c r="EEL116" s="1"/>
      <c r="EEM116" s="1"/>
      <c r="EEN116" s="1"/>
      <c r="EEO116" s="1"/>
      <c r="EEP116" s="1"/>
      <c r="EEQ116" s="1"/>
      <c r="EER116" s="1"/>
      <c r="EES116" s="1"/>
      <c r="EET116" s="1"/>
      <c r="EEU116" s="1"/>
      <c r="EEV116" s="1"/>
      <c r="EEW116" s="1"/>
      <c r="EEX116" s="1"/>
      <c r="EEY116" s="1"/>
      <c r="EEZ116" s="1"/>
      <c r="EFA116" s="1"/>
      <c r="EFB116" s="1"/>
      <c r="EFC116" s="1"/>
      <c r="EFD116" s="1"/>
      <c r="EFE116" s="1"/>
      <c r="EFF116" s="1"/>
      <c r="EFG116" s="1"/>
      <c r="EFH116" s="1"/>
      <c r="EFI116" s="1"/>
      <c r="EFJ116" s="1"/>
      <c r="EFK116" s="1"/>
      <c r="EFL116" s="1"/>
      <c r="EFM116" s="1"/>
      <c r="EFN116" s="1"/>
      <c r="EFO116" s="1"/>
      <c r="EFP116" s="1"/>
      <c r="EFQ116" s="1"/>
      <c r="EFR116" s="1"/>
      <c r="EFS116" s="1"/>
      <c r="EFT116" s="1"/>
      <c r="EFU116" s="1"/>
      <c r="EFV116" s="1"/>
      <c r="EFW116" s="1"/>
      <c r="EFX116" s="1"/>
      <c r="EFY116" s="1"/>
      <c r="EFZ116" s="1"/>
      <c r="EGA116" s="1"/>
      <c r="EGB116" s="1"/>
      <c r="EGC116" s="1"/>
      <c r="EGD116" s="1"/>
      <c r="EGE116" s="1"/>
      <c r="EGF116" s="1"/>
      <c r="EGG116" s="1"/>
      <c r="EGH116" s="1"/>
      <c r="EGI116" s="1"/>
      <c r="EGJ116" s="1"/>
      <c r="EGK116" s="1"/>
      <c r="EGL116" s="1"/>
      <c r="EGM116" s="1"/>
      <c r="EGN116" s="1"/>
      <c r="EGO116" s="1"/>
      <c r="EGP116" s="1"/>
      <c r="EGQ116" s="1"/>
      <c r="EGR116" s="1"/>
      <c r="EGS116" s="1"/>
      <c r="EGT116" s="1"/>
      <c r="EGU116" s="1"/>
      <c r="EGV116" s="1"/>
      <c r="EGW116" s="1"/>
      <c r="EGX116" s="1"/>
      <c r="EGY116" s="1"/>
      <c r="EGZ116" s="1"/>
      <c r="EHA116" s="1"/>
      <c r="EHB116" s="1"/>
      <c r="EHC116" s="1"/>
      <c r="EHD116" s="1"/>
      <c r="EHE116" s="1"/>
      <c r="EHF116" s="1"/>
      <c r="EHG116" s="1"/>
      <c r="EHH116" s="1"/>
      <c r="EHI116" s="1"/>
      <c r="EHJ116" s="1"/>
      <c r="EHK116" s="1"/>
      <c r="EHL116" s="1"/>
      <c r="EHM116" s="1"/>
      <c r="EHN116" s="1"/>
      <c r="EHO116" s="1"/>
      <c r="EHP116" s="1"/>
      <c r="EHQ116" s="1"/>
      <c r="EHR116" s="1"/>
      <c r="EHS116" s="1"/>
      <c r="EHT116" s="1"/>
      <c r="EHU116" s="1"/>
      <c r="EHV116" s="1"/>
      <c r="EHW116" s="1"/>
      <c r="EHX116" s="1"/>
      <c r="EHY116" s="1"/>
      <c r="EHZ116" s="1"/>
      <c r="EIA116" s="1"/>
      <c r="EIB116" s="1"/>
      <c r="EIC116" s="1"/>
      <c r="EID116" s="1"/>
      <c r="EIE116" s="1"/>
      <c r="EIF116" s="1"/>
      <c r="EIG116" s="1"/>
      <c r="EIH116" s="1"/>
      <c r="EII116" s="1"/>
      <c r="EIJ116" s="1"/>
      <c r="EIK116" s="1"/>
      <c r="EIL116" s="1"/>
      <c r="EIM116" s="1"/>
      <c r="EIN116" s="1"/>
      <c r="EIO116" s="1"/>
      <c r="EIP116" s="1"/>
      <c r="EIQ116" s="1"/>
      <c r="EIR116" s="1"/>
      <c r="EIS116" s="1"/>
      <c r="EIT116" s="1"/>
      <c r="EIU116" s="1"/>
      <c r="EIV116" s="1"/>
      <c r="EIW116" s="1"/>
      <c r="EIX116" s="1"/>
      <c r="EIY116" s="1"/>
      <c r="EIZ116" s="1"/>
      <c r="EJA116" s="1"/>
      <c r="EJB116" s="1"/>
      <c r="EJC116" s="1"/>
      <c r="EJD116" s="1"/>
      <c r="EJE116" s="1"/>
      <c r="EJF116" s="1"/>
      <c r="EJG116" s="1"/>
      <c r="EJH116" s="1"/>
      <c r="EJI116" s="1"/>
      <c r="EJJ116" s="1"/>
      <c r="EJK116" s="1"/>
      <c r="EJL116" s="1"/>
      <c r="EJM116" s="1"/>
      <c r="EJN116" s="1"/>
      <c r="EJO116" s="1"/>
      <c r="EJP116" s="1"/>
      <c r="EJQ116" s="1"/>
      <c r="EJR116" s="1"/>
      <c r="EJS116" s="1"/>
      <c r="EJT116" s="1"/>
      <c r="EJU116" s="1"/>
      <c r="EJV116" s="1"/>
      <c r="EJW116" s="1"/>
      <c r="EJX116" s="1"/>
      <c r="EJY116" s="1"/>
      <c r="EJZ116" s="1"/>
      <c r="EKA116" s="1"/>
      <c r="EKB116" s="1"/>
      <c r="EKC116" s="1"/>
      <c r="EKD116" s="1"/>
      <c r="EKE116" s="1"/>
      <c r="EKF116" s="1"/>
      <c r="EKG116" s="1"/>
      <c r="EKH116" s="1"/>
      <c r="EKI116" s="1"/>
      <c r="EKJ116" s="1"/>
      <c r="EKK116" s="1"/>
      <c r="EKL116" s="1"/>
      <c r="EKM116" s="1"/>
      <c r="EKN116" s="1"/>
      <c r="EKO116" s="1"/>
      <c r="EKP116" s="1"/>
      <c r="EKQ116" s="1"/>
      <c r="EKR116" s="1"/>
      <c r="EKS116" s="1"/>
      <c r="EKT116" s="1"/>
      <c r="EKU116" s="1"/>
      <c r="EKV116" s="1"/>
      <c r="EKW116" s="1"/>
      <c r="EKX116" s="1"/>
      <c r="EKY116" s="1"/>
      <c r="EKZ116" s="1"/>
      <c r="ELA116" s="1"/>
      <c r="ELB116" s="1"/>
      <c r="ELC116" s="1"/>
      <c r="ELD116" s="1"/>
      <c r="ELE116" s="1"/>
      <c r="ELF116" s="1"/>
      <c r="ELG116" s="1"/>
      <c r="ELH116" s="1"/>
      <c r="ELI116" s="1"/>
      <c r="ELJ116" s="1"/>
      <c r="ELK116" s="1"/>
      <c r="ELL116" s="1"/>
      <c r="ELM116" s="1"/>
      <c r="ELN116" s="1"/>
      <c r="ELO116" s="1"/>
      <c r="ELP116" s="1"/>
      <c r="ELQ116" s="1"/>
      <c r="ELR116" s="1"/>
      <c r="ELS116" s="1"/>
      <c r="ELT116" s="1"/>
      <c r="ELU116" s="1"/>
      <c r="ELV116" s="1"/>
      <c r="ELW116" s="1"/>
      <c r="ELX116" s="1"/>
      <c r="ELY116" s="1"/>
      <c r="ELZ116" s="1"/>
      <c r="EMA116" s="1"/>
      <c r="EMB116" s="1"/>
      <c r="EMC116" s="1"/>
      <c r="EMD116" s="1"/>
      <c r="EME116" s="1"/>
      <c r="EMF116" s="1"/>
      <c r="EMG116" s="1"/>
      <c r="EMH116" s="1"/>
      <c r="EMI116" s="1"/>
      <c r="EMJ116" s="1"/>
      <c r="EMK116" s="1"/>
      <c r="EML116" s="1"/>
      <c r="EMM116" s="1"/>
      <c r="EMN116" s="1"/>
      <c r="EMO116" s="1"/>
      <c r="EMP116" s="1"/>
      <c r="EMQ116" s="1"/>
      <c r="EMR116" s="1"/>
      <c r="EMS116" s="1"/>
      <c r="EMT116" s="1"/>
      <c r="EMU116" s="1"/>
      <c r="EMV116" s="1"/>
      <c r="EMW116" s="1"/>
      <c r="EMX116" s="1"/>
      <c r="EMY116" s="1"/>
      <c r="EMZ116" s="1"/>
      <c r="ENA116" s="1"/>
      <c r="ENB116" s="1"/>
      <c r="ENC116" s="1"/>
      <c r="END116" s="1"/>
      <c r="ENE116" s="1"/>
      <c r="ENF116" s="1"/>
      <c r="ENG116" s="1"/>
      <c r="ENH116" s="1"/>
      <c r="ENI116" s="1"/>
      <c r="ENJ116" s="1"/>
      <c r="ENK116" s="1"/>
      <c r="ENL116" s="1"/>
      <c r="ENM116" s="1"/>
      <c r="ENN116" s="1"/>
      <c r="ENO116" s="1"/>
      <c r="ENP116" s="1"/>
      <c r="ENQ116" s="1"/>
      <c r="ENR116" s="1"/>
      <c r="ENS116" s="1"/>
      <c r="ENT116" s="1"/>
      <c r="ENU116" s="1"/>
      <c r="ENV116" s="1"/>
      <c r="ENW116" s="1"/>
      <c r="ENX116" s="1"/>
      <c r="ENY116" s="1"/>
      <c r="ENZ116" s="1"/>
      <c r="EOA116" s="1"/>
      <c r="EOB116" s="1"/>
      <c r="EOC116" s="1"/>
      <c r="EOD116" s="1"/>
      <c r="EOE116" s="1"/>
      <c r="EOF116" s="1"/>
      <c r="EOG116" s="1"/>
      <c r="EOH116" s="1"/>
      <c r="EOI116" s="1"/>
      <c r="EOJ116" s="1"/>
      <c r="EOK116" s="1"/>
      <c r="EOL116" s="1"/>
      <c r="EOM116" s="1"/>
      <c r="EON116" s="1"/>
      <c r="EOO116" s="1"/>
      <c r="EOP116" s="1"/>
      <c r="EOQ116" s="1"/>
      <c r="EOR116" s="1"/>
      <c r="EOS116" s="1"/>
      <c r="EOT116" s="1"/>
      <c r="EOU116" s="1"/>
      <c r="EOV116" s="1"/>
      <c r="EOW116" s="1"/>
      <c r="EOX116" s="1"/>
      <c r="EOY116" s="1"/>
      <c r="EOZ116" s="1"/>
      <c r="EPA116" s="1"/>
      <c r="EPB116" s="1"/>
      <c r="EPC116" s="1"/>
      <c r="EPD116" s="1"/>
      <c r="EPE116" s="1"/>
      <c r="EPF116" s="1"/>
      <c r="EPG116" s="1"/>
      <c r="EPH116" s="1"/>
      <c r="EPI116" s="1"/>
      <c r="EPJ116" s="1"/>
      <c r="EPK116" s="1"/>
      <c r="EPL116" s="1"/>
      <c r="EPM116" s="1"/>
      <c r="EPN116" s="1"/>
      <c r="EPO116" s="1"/>
      <c r="EPP116" s="1"/>
      <c r="EPQ116" s="1"/>
      <c r="EPR116" s="1"/>
      <c r="EPS116" s="1"/>
      <c r="EPT116" s="1"/>
      <c r="EPU116" s="1"/>
      <c r="EPV116" s="1"/>
      <c r="EPW116" s="1"/>
      <c r="EPX116" s="1"/>
      <c r="EPY116" s="1"/>
      <c r="EPZ116" s="1"/>
      <c r="EQA116" s="1"/>
      <c r="EQB116" s="1"/>
      <c r="EQC116" s="1"/>
      <c r="EQD116" s="1"/>
      <c r="EQE116" s="1"/>
      <c r="EQF116" s="1"/>
      <c r="EQG116" s="1"/>
      <c r="EQH116" s="1"/>
      <c r="EQI116" s="1"/>
      <c r="EQJ116" s="1"/>
      <c r="EQK116" s="1"/>
      <c r="EQL116" s="1"/>
      <c r="EQM116" s="1"/>
      <c r="EQN116" s="1"/>
      <c r="EQO116" s="1"/>
      <c r="EQP116" s="1"/>
      <c r="EQQ116" s="1"/>
      <c r="EQR116" s="1"/>
      <c r="EQS116" s="1"/>
      <c r="EQT116" s="1"/>
      <c r="EQU116" s="1"/>
      <c r="EQV116" s="1"/>
      <c r="EQW116" s="1"/>
      <c r="EQX116" s="1"/>
      <c r="EQY116" s="1"/>
      <c r="EQZ116" s="1"/>
      <c r="ERA116" s="1"/>
      <c r="ERB116" s="1"/>
      <c r="ERC116" s="1"/>
      <c r="ERD116" s="1"/>
      <c r="ERE116" s="1"/>
      <c r="ERF116" s="1"/>
      <c r="ERG116" s="1"/>
      <c r="ERH116" s="1"/>
      <c r="ERI116" s="1"/>
      <c r="ERJ116" s="1"/>
      <c r="ERK116" s="1"/>
      <c r="ERL116" s="1"/>
      <c r="ERM116" s="1"/>
      <c r="ERN116" s="1"/>
      <c r="ERO116" s="1"/>
      <c r="ERP116" s="1"/>
      <c r="ERQ116" s="1"/>
      <c r="ERR116" s="1"/>
      <c r="ERS116" s="1"/>
      <c r="ERT116" s="1"/>
      <c r="ERU116" s="1"/>
      <c r="ERV116" s="1"/>
      <c r="ERW116" s="1"/>
      <c r="ERX116" s="1"/>
      <c r="ERY116" s="1"/>
      <c r="ERZ116" s="1"/>
      <c r="ESA116" s="1"/>
      <c r="ESB116" s="1"/>
      <c r="ESC116" s="1"/>
      <c r="ESD116" s="1"/>
      <c r="ESE116" s="1"/>
      <c r="ESF116" s="1"/>
      <c r="ESG116" s="1"/>
      <c r="ESH116" s="1"/>
      <c r="ESI116" s="1"/>
      <c r="ESJ116" s="1"/>
      <c r="ESK116" s="1"/>
      <c r="ESL116" s="1"/>
      <c r="ESM116" s="1"/>
      <c r="ESN116" s="1"/>
      <c r="ESO116" s="1"/>
      <c r="ESP116" s="1"/>
      <c r="ESQ116" s="1"/>
      <c r="ESR116" s="1"/>
      <c r="ESS116" s="1"/>
      <c r="EST116" s="1"/>
      <c r="ESU116" s="1"/>
      <c r="ESV116" s="1"/>
      <c r="ESW116" s="1"/>
      <c r="ESX116" s="1"/>
      <c r="ESY116" s="1"/>
      <c r="ESZ116" s="1"/>
      <c r="ETA116" s="1"/>
      <c r="ETB116" s="1"/>
      <c r="ETC116" s="1"/>
      <c r="ETD116" s="1"/>
      <c r="ETE116" s="1"/>
      <c r="ETF116" s="1"/>
      <c r="ETG116" s="1"/>
      <c r="ETH116" s="1"/>
      <c r="ETI116" s="1"/>
      <c r="ETJ116" s="1"/>
      <c r="ETK116" s="1"/>
      <c r="ETL116" s="1"/>
      <c r="ETM116" s="1"/>
      <c r="ETN116" s="1"/>
      <c r="ETO116" s="1"/>
      <c r="ETP116" s="1"/>
      <c r="ETQ116" s="1"/>
      <c r="ETR116" s="1"/>
      <c r="ETS116" s="1"/>
      <c r="ETT116" s="1"/>
      <c r="ETU116" s="1"/>
      <c r="ETV116" s="1"/>
      <c r="ETW116" s="1"/>
      <c r="ETX116" s="1"/>
      <c r="ETY116" s="1"/>
      <c r="ETZ116" s="1"/>
      <c r="EUA116" s="1"/>
      <c r="EUB116" s="1"/>
      <c r="EUC116" s="1"/>
      <c r="EUD116" s="1"/>
      <c r="EUE116" s="1"/>
      <c r="EUF116" s="1"/>
      <c r="EUG116" s="1"/>
      <c r="EUH116" s="1"/>
      <c r="EUI116" s="1"/>
      <c r="EUJ116" s="1"/>
      <c r="EUK116" s="1"/>
      <c r="EUL116" s="1"/>
      <c r="EUM116" s="1"/>
      <c r="EUN116" s="1"/>
      <c r="EUO116" s="1"/>
      <c r="EUP116" s="1"/>
      <c r="EUQ116" s="1"/>
      <c r="EUR116" s="1"/>
      <c r="EUS116" s="1"/>
      <c r="EUT116" s="1"/>
      <c r="EUU116" s="1"/>
      <c r="EUV116" s="1"/>
      <c r="EUW116" s="1"/>
      <c r="EUX116" s="1"/>
      <c r="EUY116" s="1"/>
      <c r="EUZ116" s="1"/>
      <c r="EVA116" s="1"/>
      <c r="EVB116" s="1"/>
      <c r="EVC116" s="1"/>
      <c r="EVD116" s="1"/>
      <c r="EVE116" s="1"/>
      <c r="EVF116" s="1"/>
      <c r="EVG116" s="1"/>
      <c r="EVH116" s="1"/>
      <c r="EVI116" s="1"/>
      <c r="EVJ116" s="1"/>
      <c r="EVK116" s="1"/>
      <c r="EVL116" s="1"/>
      <c r="EVM116" s="1"/>
      <c r="EVN116" s="1"/>
      <c r="EVO116" s="1"/>
      <c r="EVP116" s="1"/>
      <c r="EVQ116" s="1"/>
      <c r="EVR116" s="1"/>
      <c r="EVS116" s="1"/>
      <c r="EVT116" s="1"/>
      <c r="EVU116" s="1"/>
      <c r="EVV116" s="1"/>
      <c r="EVW116" s="1"/>
      <c r="EVX116" s="1"/>
      <c r="EVY116" s="1"/>
      <c r="EVZ116" s="1"/>
      <c r="EWA116" s="1"/>
      <c r="EWB116" s="1"/>
      <c r="EWC116" s="1"/>
      <c r="EWD116" s="1"/>
      <c r="EWE116" s="1"/>
      <c r="EWF116" s="1"/>
      <c r="EWG116" s="1"/>
      <c r="EWH116" s="1"/>
      <c r="EWI116" s="1"/>
      <c r="EWJ116" s="1"/>
      <c r="EWK116" s="1"/>
      <c r="EWL116" s="1"/>
      <c r="EWM116" s="1"/>
      <c r="EWN116" s="1"/>
      <c r="EWO116" s="1"/>
      <c r="EWP116" s="1"/>
      <c r="EWQ116" s="1"/>
      <c r="EWR116" s="1"/>
      <c r="EWS116" s="1"/>
      <c r="EWT116" s="1"/>
      <c r="EWU116" s="1"/>
      <c r="EWV116" s="1"/>
      <c r="EWW116" s="1"/>
      <c r="EWX116" s="1"/>
      <c r="EWY116" s="1"/>
      <c r="EWZ116" s="1"/>
      <c r="EXA116" s="1"/>
      <c r="EXB116" s="1"/>
      <c r="EXC116" s="1"/>
      <c r="EXD116" s="1"/>
      <c r="EXE116" s="1"/>
      <c r="EXF116" s="1"/>
      <c r="EXG116" s="1"/>
      <c r="EXH116" s="1"/>
      <c r="EXI116" s="1"/>
      <c r="EXJ116" s="1"/>
      <c r="EXK116" s="1"/>
      <c r="EXL116" s="1"/>
      <c r="EXM116" s="1"/>
      <c r="EXN116" s="1"/>
      <c r="EXO116" s="1"/>
      <c r="EXP116" s="1"/>
      <c r="EXQ116" s="1"/>
      <c r="EXR116" s="1"/>
      <c r="EXS116" s="1"/>
      <c r="EXT116" s="1"/>
      <c r="EXU116" s="1"/>
      <c r="EXV116" s="1"/>
      <c r="EXW116" s="1"/>
      <c r="EXX116" s="1"/>
      <c r="EXY116" s="1"/>
      <c r="EXZ116" s="1"/>
      <c r="EYA116" s="1"/>
      <c r="EYB116" s="1"/>
      <c r="EYC116" s="1"/>
      <c r="EYD116" s="1"/>
      <c r="EYE116" s="1"/>
      <c r="EYF116" s="1"/>
      <c r="EYG116" s="1"/>
      <c r="EYH116" s="1"/>
      <c r="EYI116" s="1"/>
      <c r="EYJ116" s="1"/>
      <c r="EYK116" s="1"/>
      <c r="EYL116" s="1"/>
      <c r="EYM116" s="1"/>
      <c r="EYN116" s="1"/>
      <c r="EYO116" s="1"/>
      <c r="EYP116" s="1"/>
      <c r="EYQ116" s="1"/>
      <c r="EYR116" s="1"/>
      <c r="EYS116" s="1"/>
      <c r="EYT116" s="1"/>
      <c r="EYU116" s="1"/>
      <c r="EYV116" s="1"/>
      <c r="EYW116" s="1"/>
      <c r="EYX116" s="1"/>
      <c r="EYY116" s="1"/>
      <c r="EYZ116" s="1"/>
      <c r="EZA116" s="1"/>
      <c r="EZB116" s="1"/>
      <c r="EZC116" s="1"/>
      <c r="EZD116" s="1"/>
      <c r="EZE116" s="1"/>
      <c r="EZF116" s="1"/>
      <c r="EZG116" s="1"/>
      <c r="EZH116" s="1"/>
      <c r="EZI116" s="1"/>
      <c r="EZJ116" s="1"/>
      <c r="EZK116" s="1"/>
      <c r="EZL116" s="1"/>
      <c r="EZM116" s="1"/>
      <c r="EZN116" s="1"/>
      <c r="EZO116" s="1"/>
      <c r="EZP116" s="1"/>
      <c r="EZQ116" s="1"/>
      <c r="EZR116" s="1"/>
      <c r="EZS116" s="1"/>
      <c r="EZT116" s="1"/>
      <c r="EZU116" s="1"/>
      <c r="EZV116" s="1"/>
      <c r="EZW116" s="1"/>
      <c r="EZX116" s="1"/>
      <c r="EZY116" s="1"/>
      <c r="EZZ116" s="1"/>
      <c r="FAA116" s="1"/>
      <c r="FAB116" s="1"/>
      <c r="FAC116" s="1"/>
      <c r="FAD116" s="1"/>
      <c r="FAE116" s="1"/>
      <c r="FAF116" s="1"/>
      <c r="FAG116" s="1"/>
      <c r="FAH116" s="1"/>
      <c r="FAI116" s="1"/>
      <c r="FAJ116" s="1"/>
      <c r="FAK116" s="1"/>
      <c r="FAL116" s="1"/>
      <c r="FAM116" s="1"/>
      <c r="FAN116" s="1"/>
      <c r="FAO116" s="1"/>
      <c r="FAP116" s="1"/>
      <c r="FAQ116" s="1"/>
      <c r="FAR116" s="1"/>
      <c r="FAS116" s="1"/>
      <c r="FAT116" s="1"/>
      <c r="FAU116" s="1"/>
      <c r="FAV116" s="1"/>
      <c r="FAW116" s="1"/>
      <c r="FAX116" s="1"/>
      <c r="FAY116" s="1"/>
      <c r="FAZ116" s="1"/>
      <c r="FBA116" s="1"/>
      <c r="FBB116" s="1"/>
      <c r="FBC116" s="1"/>
      <c r="FBD116" s="1"/>
      <c r="FBE116" s="1"/>
      <c r="FBF116" s="1"/>
      <c r="FBG116" s="1"/>
      <c r="FBH116" s="1"/>
      <c r="FBI116" s="1"/>
      <c r="FBJ116" s="1"/>
      <c r="FBK116" s="1"/>
      <c r="FBL116" s="1"/>
      <c r="FBM116" s="1"/>
      <c r="FBN116" s="1"/>
      <c r="FBO116" s="1"/>
      <c r="FBP116" s="1"/>
      <c r="FBQ116" s="1"/>
      <c r="FBR116" s="1"/>
      <c r="FBS116" s="1"/>
      <c r="FBT116" s="1"/>
      <c r="FBU116" s="1"/>
      <c r="FBV116" s="1"/>
      <c r="FBW116" s="1"/>
      <c r="FBX116" s="1"/>
      <c r="FBY116" s="1"/>
      <c r="FBZ116" s="1"/>
      <c r="FCA116" s="1"/>
      <c r="FCB116" s="1"/>
      <c r="FCC116" s="1"/>
      <c r="FCD116" s="1"/>
      <c r="FCE116" s="1"/>
      <c r="FCF116" s="1"/>
      <c r="FCG116" s="1"/>
      <c r="FCH116" s="1"/>
      <c r="FCI116" s="1"/>
      <c r="FCJ116" s="1"/>
      <c r="FCK116" s="1"/>
      <c r="FCL116" s="1"/>
      <c r="FCM116" s="1"/>
      <c r="FCN116" s="1"/>
      <c r="FCO116" s="1"/>
      <c r="FCP116" s="1"/>
      <c r="FCQ116" s="1"/>
      <c r="FCR116" s="1"/>
      <c r="FCS116" s="1"/>
      <c r="FCT116" s="1"/>
      <c r="FCU116" s="1"/>
      <c r="FCV116" s="1"/>
      <c r="FCW116" s="1"/>
      <c r="FCX116" s="1"/>
      <c r="FCY116" s="1"/>
      <c r="FCZ116" s="1"/>
      <c r="FDA116" s="1"/>
      <c r="FDB116" s="1"/>
      <c r="FDC116" s="1"/>
      <c r="FDD116" s="1"/>
      <c r="FDE116" s="1"/>
      <c r="FDF116" s="1"/>
      <c r="FDG116" s="1"/>
      <c r="FDH116" s="1"/>
      <c r="FDI116" s="1"/>
      <c r="FDJ116" s="1"/>
      <c r="FDK116" s="1"/>
      <c r="FDL116" s="1"/>
      <c r="FDM116" s="1"/>
      <c r="FDN116" s="1"/>
      <c r="FDO116" s="1"/>
      <c r="FDP116" s="1"/>
      <c r="FDQ116" s="1"/>
      <c r="FDR116" s="1"/>
      <c r="FDS116" s="1"/>
      <c r="FDT116" s="1"/>
      <c r="FDU116" s="1"/>
      <c r="FDV116" s="1"/>
      <c r="FDW116" s="1"/>
      <c r="FDX116" s="1"/>
      <c r="FDY116" s="1"/>
      <c r="FDZ116" s="1"/>
      <c r="FEA116" s="1"/>
      <c r="FEB116" s="1"/>
      <c r="FEC116" s="1"/>
      <c r="FED116" s="1"/>
      <c r="FEE116" s="1"/>
      <c r="FEF116" s="1"/>
      <c r="FEG116" s="1"/>
      <c r="FEH116" s="1"/>
      <c r="FEI116" s="1"/>
      <c r="FEJ116" s="1"/>
      <c r="FEK116" s="1"/>
      <c r="FEL116" s="1"/>
      <c r="FEM116" s="1"/>
      <c r="FEN116" s="1"/>
      <c r="FEO116" s="1"/>
      <c r="FEP116" s="1"/>
      <c r="FEQ116" s="1"/>
      <c r="FER116" s="1"/>
      <c r="FES116" s="1"/>
      <c r="FET116" s="1"/>
      <c r="FEU116" s="1"/>
      <c r="FEV116" s="1"/>
      <c r="FEW116" s="1"/>
      <c r="FEX116" s="1"/>
      <c r="FEY116" s="1"/>
      <c r="FEZ116" s="1"/>
      <c r="FFA116" s="1"/>
      <c r="FFB116" s="1"/>
      <c r="FFC116" s="1"/>
      <c r="FFD116" s="1"/>
      <c r="FFE116" s="1"/>
      <c r="FFF116" s="1"/>
      <c r="FFG116" s="1"/>
      <c r="FFH116" s="1"/>
      <c r="FFI116" s="1"/>
      <c r="FFJ116" s="1"/>
      <c r="FFK116" s="1"/>
      <c r="FFL116" s="1"/>
      <c r="FFM116" s="1"/>
      <c r="FFN116" s="1"/>
      <c r="FFO116" s="1"/>
      <c r="FFP116" s="1"/>
      <c r="FFQ116" s="1"/>
      <c r="FFR116" s="1"/>
      <c r="FFS116" s="1"/>
      <c r="FFT116" s="1"/>
      <c r="FFU116" s="1"/>
      <c r="FFV116" s="1"/>
      <c r="FFW116" s="1"/>
      <c r="FFX116" s="1"/>
      <c r="FFY116" s="1"/>
      <c r="FFZ116" s="1"/>
      <c r="FGA116" s="1"/>
      <c r="FGB116" s="1"/>
      <c r="FGC116" s="1"/>
      <c r="FGD116" s="1"/>
      <c r="FGE116" s="1"/>
      <c r="FGF116" s="1"/>
      <c r="FGG116" s="1"/>
      <c r="FGH116" s="1"/>
      <c r="FGI116" s="1"/>
      <c r="FGJ116" s="1"/>
      <c r="FGK116" s="1"/>
      <c r="FGL116" s="1"/>
      <c r="FGM116" s="1"/>
      <c r="FGN116" s="1"/>
      <c r="FGO116" s="1"/>
      <c r="FGP116" s="1"/>
      <c r="FGQ116" s="1"/>
      <c r="FGR116" s="1"/>
      <c r="FGS116" s="1"/>
      <c r="FGT116" s="1"/>
      <c r="FGU116" s="1"/>
      <c r="FGV116" s="1"/>
      <c r="FGW116" s="1"/>
      <c r="FGX116" s="1"/>
      <c r="FGY116" s="1"/>
      <c r="FGZ116" s="1"/>
      <c r="FHA116" s="1"/>
      <c r="FHB116" s="1"/>
      <c r="FHC116" s="1"/>
      <c r="FHD116" s="1"/>
      <c r="FHE116" s="1"/>
      <c r="FHF116" s="1"/>
      <c r="FHG116" s="1"/>
      <c r="FHH116" s="1"/>
      <c r="FHI116" s="1"/>
      <c r="FHJ116" s="1"/>
      <c r="FHK116" s="1"/>
      <c r="FHL116" s="1"/>
      <c r="FHM116" s="1"/>
      <c r="FHN116" s="1"/>
      <c r="FHO116" s="1"/>
      <c r="FHP116" s="1"/>
      <c r="FHQ116" s="1"/>
      <c r="FHR116" s="1"/>
      <c r="FHS116" s="1"/>
      <c r="FHT116" s="1"/>
      <c r="FHU116" s="1"/>
      <c r="FHV116" s="1"/>
      <c r="FHW116" s="1"/>
      <c r="FHX116" s="1"/>
      <c r="FHY116" s="1"/>
      <c r="FHZ116" s="1"/>
      <c r="FIA116" s="1"/>
      <c r="FIB116" s="1"/>
      <c r="FIC116" s="1"/>
      <c r="FID116" s="1"/>
      <c r="FIE116" s="1"/>
      <c r="FIF116" s="1"/>
      <c r="FIG116" s="1"/>
      <c r="FIH116" s="1"/>
      <c r="FII116" s="1"/>
      <c r="FIJ116" s="1"/>
      <c r="FIK116" s="1"/>
      <c r="FIL116" s="1"/>
      <c r="FIM116" s="1"/>
      <c r="FIN116" s="1"/>
      <c r="FIO116" s="1"/>
      <c r="FIP116" s="1"/>
      <c r="FIQ116" s="1"/>
      <c r="FIR116" s="1"/>
      <c r="FIS116" s="1"/>
      <c r="FIT116" s="1"/>
      <c r="FIU116" s="1"/>
      <c r="FIV116" s="1"/>
      <c r="FIW116" s="1"/>
      <c r="FIX116" s="1"/>
      <c r="FIY116" s="1"/>
      <c r="FIZ116" s="1"/>
      <c r="FJA116" s="1"/>
      <c r="FJB116" s="1"/>
      <c r="FJC116" s="1"/>
      <c r="FJD116" s="1"/>
      <c r="FJE116" s="1"/>
      <c r="FJF116" s="1"/>
      <c r="FJG116" s="1"/>
      <c r="FJH116" s="1"/>
      <c r="FJI116" s="1"/>
      <c r="FJJ116" s="1"/>
      <c r="FJK116" s="1"/>
      <c r="FJL116" s="1"/>
      <c r="FJM116" s="1"/>
      <c r="FJN116" s="1"/>
      <c r="FJO116" s="1"/>
      <c r="FJP116" s="1"/>
      <c r="FJQ116" s="1"/>
      <c r="FJR116" s="1"/>
      <c r="FJS116" s="1"/>
      <c r="FJT116" s="1"/>
      <c r="FJU116" s="1"/>
      <c r="FJV116" s="1"/>
      <c r="FJW116" s="1"/>
      <c r="FJX116" s="1"/>
      <c r="FJY116" s="1"/>
      <c r="FJZ116" s="1"/>
      <c r="FKA116" s="1"/>
      <c r="FKB116" s="1"/>
      <c r="FKC116" s="1"/>
      <c r="FKD116" s="1"/>
      <c r="FKE116" s="1"/>
      <c r="FKF116" s="1"/>
      <c r="FKG116" s="1"/>
      <c r="FKH116" s="1"/>
      <c r="FKI116" s="1"/>
      <c r="FKJ116" s="1"/>
      <c r="FKK116" s="1"/>
      <c r="FKL116" s="1"/>
      <c r="FKM116" s="1"/>
      <c r="FKN116" s="1"/>
      <c r="FKO116" s="1"/>
      <c r="FKP116" s="1"/>
      <c r="FKQ116" s="1"/>
      <c r="FKR116" s="1"/>
      <c r="FKS116" s="1"/>
      <c r="FKT116" s="1"/>
      <c r="FKU116" s="1"/>
      <c r="FKV116" s="1"/>
      <c r="FKW116" s="1"/>
      <c r="FKX116" s="1"/>
      <c r="FKY116" s="1"/>
      <c r="FKZ116" s="1"/>
      <c r="FLA116" s="1"/>
      <c r="FLB116" s="1"/>
      <c r="FLC116" s="1"/>
      <c r="FLD116" s="1"/>
      <c r="FLE116" s="1"/>
      <c r="FLF116" s="1"/>
      <c r="FLG116" s="1"/>
      <c r="FLH116" s="1"/>
      <c r="FLI116" s="1"/>
      <c r="FLJ116" s="1"/>
      <c r="FLK116" s="1"/>
      <c r="FLL116" s="1"/>
      <c r="FLM116" s="1"/>
      <c r="FLN116" s="1"/>
      <c r="FLO116" s="1"/>
      <c r="FLP116" s="1"/>
      <c r="FLQ116" s="1"/>
      <c r="FLR116" s="1"/>
      <c r="FLS116" s="1"/>
      <c r="FLT116" s="1"/>
      <c r="FLU116" s="1"/>
      <c r="FLV116" s="1"/>
      <c r="FLW116" s="1"/>
      <c r="FLX116" s="1"/>
      <c r="FLY116" s="1"/>
      <c r="FLZ116" s="1"/>
      <c r="FMA116" s="1"/>
      <c r="FMB116" s="1"/>
      <c r="FMC116" s="1"/>
      <c r="FMD116" s="1"/>
      <c r="FME116" s="1"/>
      <c r="FMF116" s="1"/>
      <c r="FMG116" s="1"/>
      <c r="FMH116" s="1"/>
      <c r="FMI116" s="1"/>
      <c r="FMJ116" s="1"/>
      <c r="FMK116" s="1"/>
      <c r="FML116" s="1"/>
      <c r="FMM116" s="1"/>
      <c r="FMN116" s="1"/>
      <c r="FMO116" s="1"/>
      <c r="FMP116" s="1"/>
      <c r="FMQ116" s="1"/>
      <c r="FMR116" s="1"/>
      <c r="FMS116" s="1"/>
      <c r="FMT116" s="1"/>
      <c r="FMU116" s="1"/>
      <c r="FMV116" s="1"/>
      <c r="FMW116" s="1"/>
      <c r="FMX116" s="1"/>
      <c r="FMY116" s="1"/>
      <c r="FMZ116" s="1"/>
      <c r="FNA116" s="1"/>
      <c r="FNB116" s="1"/>
      <c r="FNC116" s="1"/>
      <c r="FND116" s="1"/>
      <c r="FNE116" s="1"/>
      <c r="FNF116" s="1"/>
      <c r="FNG116" s="1"/>
      <c r="FNH116" s="1"/>
      <c r="FNI116" s="1"/>
      <c r="FNJ116" s="1"/>
      <c r="FNK116" s="1"/>
      <c r="FNL116" s="1"/>
      <c r="FNM116" s="1"/>
      <c r="FNN116" s="1"/>
      <c r="FNO116" s="1"/>
      <c r="FNP116" s="1"/>
      <c r="FNQ116" s="1"/>
      <c r="FNR116" s="1"/>
      <c r="FNS116" s="1"/>
      <c r="FNT116" s="1"/>
      <c r="FNU116" s="1"/>
      <c r="FNV116" s="1"/>
      <c r="FNW116" s="1"/>
      <c r="FNX116" s="1"/>
      <c r="FNY116" s="1"/>
      <c r="FNZ116" s="1"/>
      <c r="FOA116" s="1"/>
      <c r="FOB116" s="1"/>
      <c r="FOC116" s="1"/>
      <c r="FOD116" s="1"/>
      <c r="FOE116" s="1"/>
      <c r="FOF116" s="1"/>
      <c r="FOG116" s="1"/>
      <c r="FOH116" s="1"/>
      <c r="FOI116" s="1"/>
      <c r="FOJ116" s="1"/>
      <c r="FOK116" s="1"/>
      <c r="FOL116" s="1"/>
      <c r="FOM116" s="1"/>
      <c r="FON116" s="1"/>
      <c r="FOO116" s="1"/>
      <c r="FOP116" s="1"/>
      <c r="FOQ116" s="1"/>
      <c r="FOR116" s="1"/>
      <c r="FOS116" s="1"/>
      <c r="FOT116" s="1"/>
      <c r="FOU116" s="1"/>
      <c r="FOV116" s="1"/>
      <c r="FOW116" s="1"/>
      <c r="FOX116" s="1"/>
      <c r="FOY116" s="1"/>
      <c r="FOZ116" s="1"/>
      <c r="FPA116" s="1"/>
      <c r="FPB116" s="1"/>
      <c r="FPC116" s="1"/>
      <c r="FPD116" s="1"/>
      <c r="FPE116" s="1"/>
      <c r="FPF116" s="1"/>
      <c r="FPG116" s="1"/>
      <c r="FPH116" s="1"/>
      <c r="FPI116" s="1"/>
      <c r="FPJ116" s="1"/>
      <c r="FPK116" s="1"/>
      <c r="FPL116" s="1"/>
      <c r="FPM116" s="1"/>
      <c r="FPN116" s="1"/>
      <c r="FPO116" s="1"/>
      <c r="FPP116" s="1"/>
      <c r="FPQ116" s="1"/>
      <c r="FPR116" s="1"/>
      <c r="FPS116" s="1"/>
      <c r="FPT116" s="1"/>
      <c r="FPU116" s="1"/>
      <c r="FPV116" s="1"/>
      <c r="FPW116" s="1"/>
      <c r="FPX116" s="1"/>
      <c r="FPY116" s="1"/>
      <c r="FPZ116" s="1"/>
      <c r="FQA116" s="1"/>
      <c r="FQB116" s="1"/>
      <c r="FQC116" s="1"/>
      <c r="FQD116" s="1"/>
      <c r="FQE116" s="1"/>
      <c r="FQF116" s="1"/>
      <c r="FQG116" s="1"/>
      <c r="FQH116" s="1"/>
      <c r="FQI116" s="1"/>
      <c r="FQJ116" s="1"/>
      <c r="FQK116" s="1"/>
      <c r="FQL116" s="1"/>
      <c r="FQM116" s="1"/>
      <c r="FQN116" s="1"/>
      <c r="FQO116" s="1"/>
      <c r="FQP116" s="1"/>
      <c r="FQQ116" s="1"/>
      <c r="FQR116" s="1"/>
      <c r="FQS116" s="1"/>
      <c r="FQT116" s="1"/>
      <c r="FQU116" s="1"/>
      <c r="FQV116" s="1"/>
      <c r="FQW116" s="1"/>
      <c r="FQX116" s="1"/>
      <c r="FQY116" s="1"/>
      <c r="FQZ116" s="1"/>
      <c r="FRA116" s="1"/>
      <c r="FRB116" s="1"/>
      <c r="FRC116" s="1"/>
      <c r="FRD116" s="1"/>
      <c r="FRE116" s="1"/>
      <c r="FRF116" s="1"/>
      <c r="FRG116" s="1"/>
      <c r="FRH116" s="1"/>
      <c r="FRI116" s="1"/>
      <c r="FRJ116" s="1"/>
      <c r="FRK116" s="1"/>
      <c r="FRL116" s="1"/>
      <c r="FRM116" s="1"/>
      <c r="FRN116" s="1"/>
      <c r="FRO116" s="1"/>
      <c r="FRP116" s="1"/>
      <c r="FRQ116" s="1"/>
      <c r="FRR116" s="1"/>
      <c r="FRS116" s="1"/>
      <c r="FRT116" s="1"/>
      <c r="FRU116" s="1"/>
      <c r="FRV116" s="1"/>
      <c r="FRW116" s="1"/>
      <c r="FRX116" s="1"/>
      <c r="FRY116" s="1"/>
      <c r="FRZ116" s="1"/>
      <c r="FSA116" s="1"/>
      <c r="FSB116" s="1"/>
      <c r="FSC116" s="1"/>
      <c r="FSD116" s="1"/>
      <c r="FSE116" s="1"/>
      <c r="FSF116" s="1"/>
      <c r="FSG116" s="1"/>
      <c r="FSH116" s="1"/>
      <c r="FSI116" s="1"/>
      <c r="FSJ116" s="1"/>
      <c r="FSK116" s="1"/>
      <c r="FSL116" s="1"/>
      <c r="FSM116" s="1"/>
      <c r="FSN116" s="1"/>
      <c r="FSO116" s="1"/>
      <c r="FSP116" s="1"/>
      <c r="FSQ116" s="1"/>
      <c r="FSR116" s="1"/>
      <c r="FSS116" s="1"/>
      <c r="FST116" s="1"/>
      <c r="FSU116" s="1"/>
      <c r="FSV116" s="1"/>
      <c r="FSW116" s="1"/>
      <c r="FSX116" s="1"/>
      <c r="FSY116" s="1"/>
      <c r="FSZ116" s="1"/>
      <c r="FTA116" s="1"/>
      <c r="FTB116" s="1"/>
      <c r="FTC116" s="1"/>
      <c r="FTD116" s="1"/>
      <c r="FTE116" s="1"/>
      <c r="FTF116" s="1"/>
      <c r="FTG116" s="1"/>
      <c r="FTH116" s="1"/>
      <c r="FTI116" s="1"/>
      <c r="FTJ116" s="1"/>
      <c r="FTK116" s="1"/>
      <c r="FTL116" s="1"/>
      <c r="FTM116" s="1"/>
      <c r="FTN116" s="1"/>
      <c r="FTO116" s="1"/>
      <c r="FTP116" s="1"/>
      <c r="FTQ116" s="1"/>
      <c r="FTR116" s="1"/>
      <c r="FTS116" s="1"/>
      <c r="FTT116" s="1"/>
      <c r="FTU116" s="1"/>
      <c r="FTV116" s="1"/>
      <c r="FTW116" s="1"/>
      <c r="FTX116" s="1"/>
      <c r="FTY116" s="1"/>
      <c r="FTZ116" s="1"/>
      <c r="FUA116" s="1"/>
      <c r="FUB116" s="1"/>
      <c r="FUC116" s="1"/>
      <c r="FUD116" s="1"/>
      <c r="FUE116" s="1"/>
      <c r="FUF116" s="1"/>
      <c r="FUG116" s="1"/>
      <c r="FUH116" s="1"/>
      <c r="FUI116" s="1"/>
      <c r="FUJ116" s="1"/>
      <c r="FUK116" s="1"/>
      <c r="FUL116" s="1"/>
      <c r="FUM116" s="1"/>
      <c r="FUN116" s="1"/>
      <c r="FUO116" s="1"/>
      <c r="FUP116" s="1"/>
      <c r="FUQ116" s="1"/>
      <c r="FUR116" s="1"/>
      <c r="FUS116" s="1"/>
      <c r="FUT116" s="1"/>
      <c r="FUU116" s="1"/>
      <c r="FUV116" s="1"/>
      <c r="FUW116" s="1"/>
      <c r="FUX116" s="1"/>
      <c r="FUY116" s="1"/>
      <c r="FUZ116" s="1"/>
      <c r="FVA116" s="1"/>
      <c r="FVB116" s="1"/>
      <c r="FVC116" s="1"/>
      <c r="FVD116" s="1"/>
      <c r="FVE116" s="1"/>
      <c r="FVF116" s="1"/>
      <c r="FVG116" s="1"/>
      <c r="FVH116" s="1"/>
      <c r="FVI116" s="1"/>
      <c r="FVJ116" s="1"/>
      <c r="FVK116" s="1"/>
      <c r="FVL116" s="1"/>
      <c r="FVM116" s="1"/>
      <c r="FVN116" s="1"/>
      <c r="FVO116" s="1"/>
      <c r="FVP116" s="1"/>
      <c r="FVQ116" s="1"/>
      <c r="FVR116" s="1"/>
      <c r="FVS116" s="1"/>
      <c r="FVT116" s="1"/>
      <c r="FVU116" s="1"/>
      <c r="FVV116" s="1"/>
      <c r="FVW116" s="1"/>
      <c r="FVX116" s="1"/>
      <c r="FVY116" s="1"/>
      <c r="FVZ116" s="1"/>
      <c r="FWA116" s="1"/>
      <c r="FWB116" s="1"/>
      <c r="FWC116" s="1"/>
      <c r="FWD116" s="1"/>
      <c r="FWE116" s="1"/>
      <c r="FWF116" s="1"/>
      <c r="FWG116" s="1"/>
      <c r="FWH116" s="1"/>
      <c r="FWI116" s="1"/>
      <c r="FWJ116" s="1"/>
      <c r="FWK116" s="1"/>
      <c r="FWL116" s="1"/>
      <c r="FWM116" s="1"/>
      <c r="FWN116" s="1"/>
      <c r="FWO116" s="1"/>
      <c r="FWP116" s="1"/>
      <c r="FWQ116" s="1"/>
      <c r="FWR116" s="1"/>
      <c r="FWS116" s="1"/>
      <c r="FWT116" s="1"/>
      <c r="FWU116" s="1"/>
      <c r="FWV116" s="1"/>
      <c r="FWW116" s="1"/>
      <c r="FWX116" s="1"/>
      <c r="FWY116" s="1"/>
      <c r="FWZ116" s="1"/>
      <c r="FXA116" s="1"/>
      <c r="FXB116" s="1"/>
      <c r="FXC116" s="1"/>
      <c r="FXD116" s="1"/>
      <c r="FXE116" s="1"/>
      <c r="FXF116" s="1"/>
      <c r="FXG116" s="1"/>
      <c r="FXH116" s="1"/>
      <c r="FXI116" s="1"/>
      <c r="FXJ116" s="1"/>
      <c r="FXK116" s="1"/>
      <c r="FXL116" s="1"/>
      <c r="FXM116" s="1"/>
      <c r="FXN116" s="1"/>
      <c r="FXO116" s="1"/>
      <c r="FXP116" s="1"/>
      <c r="FXQ116" s="1"/>
      <c r="FXR116" s="1"/>
      <c r="FXS116" s="1"/>
      <c r="FXT116" s="1"/>
      <c r="FXU116" s="1"/>
      <c r="FXV116" s="1"/>
      <c r="FXW116" s="1"/>
      <c r="FXX116" s="1"/>
      <c r="FXY116" s="1"/>
      <c r="FXZ116" s="1"/>
      <c r="FYA116" s="1"/>
      <c r="FYB116" s="1"/>
      <c r="FYC116" s="1"/>
      <c r="FYD116" s="1"/>
      <c r="FYE116" s="1"/>
      <c r="FYF116" s="1"/>
      <c r="FYG116" s="1"/>
      <c r="FYH116" s="1"/>
      <c r="FYI116" s="1"/>
      <c r="FYJ116" s="1"/>
      <c r="FYK116" s="1"/>
      <c r="FYL116" s="1"/>
      <c r="FYM116" s="1"/>
      <c r="FYN116" s="1"/>
      <c r="FYO116" s="1"/>
      <c r="FYP116" s="1"/>
      <c r="FYQ116" s="1"/>
      <c r="FYR116" s="1"/>
      <c r="FYS116" s="1"/>
      <c r="FYT116" s="1"/>
      <c r="FYU116" s="1"/>
      <c r="FYV116" s="1"/>
      <c r="FYW116" s="1"/>
      <c r="FYX116" s="1"/>
      <c r="FYY116" s="1"/>
      <c r="FYZ116" s="1"/>
      <c r="FZA116" s="1"/>
      <c r="FZB116" s="1"/>
      <c r="FZC116" s="1"/>
      <c r="FZD116" s="1"/>
      <c r="FZE116" s="1"/>
      <c r="FZF116" s="1"/>
      <c r="FZG116" s="1"/>
      <c r="FZH116" s="1"/>
      <c r="FZI116" s="1"/>
      <c r="FZJ116" s="1"/>
      <c r="FZK116" s="1"/>
      <c r="FZL116" s="1"/>
      <c r="FZM116" s="1"/>
      <c r="FZN116" s="1"/>
      <c r="FZO116" s="1"/>
      <c r="FZP116" s="1"/>
      <c r="FZQ116" s="1"/>
      <c r="FZR116" s="1"/>
      <c r="FZS116" s="1"/>
      <c r="FZT116" s="1"/>
      <c r="FZU116" s="1"/>
      <c r="FZV116" s="1"/>
      <c r="FZW116" s="1"/>
      <c r="FZX116" s="1"/>
      <c r="FZY116" s="1"/>
      <c r="FZZ116" s="1"/>
      <c r="GAA116" s="1"/>
      <c r="GAB116" s="1"/>
      <c r="GAC116" s="1"/>
      <c r="GAD116" s="1"/>
      <c r="GAE116" s="1"/>
      <c r="GAF116" s="1"/>
      <c r="GAG116" s="1"/>
      <c r="GAH116" s="1"/>
      <c r="GAI116" s="1"/>
      <c r="GAJ116" s="1"/>
      <c r="GAK116" s="1"/>
      <c r="GAL116" s="1"/>
      <c r="GAM116" s="1"/>
      <c r="GAN116" s="1"/>
      <c r="GAO116" s="1"/>
      <c r="GAP116" s="1"/>
      <c r="GAQ116" s="1"/>
      <c r="GAR116" s="1"/>
      <c r="GAS116" s="1"/>
      <c r="GAT116" s="1"/>
      <c r="GAU116" s="1"/>
      <c r="GAV116" s="1"/>
      <c r="GAW116" s="1"/>
      <c r="GAX116" s="1"/>
      <c r="GAY116" s="1"/>
      <c r="GAZ116" s="1"/>
      <c r="GBA116" s="1"/>
      <c r="GBB116" s="1"/>
      <c r="GBC116" s="1"/>
      <c r="GBD116" s="1"/>
      <c r="GBE116" s="1"/>
      <c r="GBF116" s="1"/>
      <c r="GBG116" s="1"/>
      <c r="GBH116" s="1"/>
      <c r="GBI116" s="1"/>
      <c r="GBJ116" s="1"/>
      <c r="GBK116" s="1"/>
      <c r="GBL116" s="1"/>
      <c r="GBM116" s="1"/>
      <c r="GBN116" s="1"/>
      <c r="GBO116" s="1"/>
      <c r="GBP116" s="1"/>
      <c r="GBQ116" s="1"/>
      <c r="GBR116" s="1"/>
      <c r="GBS116" s="1"/>
      <c r="GBT116" s="1"/>
      <c r="GBU116" s="1"/>
      <c r="GBV116" s="1"/>
      <c r="GBW116" s="1"/>
      <c r="GBX116" s="1"/>
      <c r="GBY116" s="1"/>
      <c r="GBZ116" s="1"/>
      <c r="GCA116" s="1"/>
      <c r="GCB116" s="1"/>
      <c r="GCC116" s="1"/>
      <c r="GCD116" s="1"/>
      <c r="GCE116" s="1"/>
      <c r="GCF116" s="1"/>
      <c r="GCG116" s="1"/>
      <c r="GCH116" s="1"/>
      <c r="GCI116" s="1"/>
      <c r="GCJ116" s="1"/>
      <c r="GCK116" s="1"/>
      <c r="GCL116" s="1"/>
      <c r="GCM116" s="1"/>
      <c r="GCN116" s="1"/>
      <c r="GCO116" s="1"/>
      <c r="GCP116" s="1"/>
      <c r="GCQ116" s="1"/>
      <c r="GCR116" s="1"/>
      <c r="GCS116" s="1"/>
      <c r="GCT116" s="1"/>
      <c r="GCU116" s="1"/>
      <c r="GCV116" s="1"/>
      <c r="GCW116" s="1"/>
      <c r="GCX116" s="1"/>
      <c r="GCY116" s="1"/>
      <c r="GCZ116" s="1"/>
      <c r="GDA116" s="1"/>
      <c r="GDB116" s="1"/>
      <c r="GDC116" s="1"/>
      <c r="GDD116" s="1"/>
      <c r="GDE116" s="1"/>
      <c r="GDF116" s="1"/>
      <c r="GDG116" s="1"/>
      <c r="GDH116" s="1"/>
      <c r="GDI116" s="1"/>
      <c r="GDJ116" s="1"/>
      <c r="GDK116" s="1"/>
      <c r="GDL116" s="1"/>
      <c r="GDM116" s="1"/>
      <c r="GDN116" s="1"/>
      <c r="GDO116" s="1"/>
      <c r="GDP116" s="1"/>
      <c r="GDQ116" s="1"/>
      <c r="GDR116" s="1"/>
      <c r="GDS116" s="1"/>
      <c r="GDT116" s="1"/>
      <c r="GDU116" s="1"/>
      <c r="GDV116" s="1"/>
      <c r="GDW116" s="1"/>
      <c r="GDX116" s="1"/>
      <c r="GDY116" s="1"/>
      <c r="GDZ116" s="1"/>
      <c r="GEA116" s="1"/>
      <c r="GEB116" s="1"/>
      <c r="GEC116" s="1"/>
      <c r="GED116" s="1"/>
      <c r="GEE116" s="1"/>
      <c r="GEF116" s="1"/>
      <c r="GEG116" s="1"/>
      <c r="GEH116" s="1"/>
      <c r="GEI116" s="1"/>
      <c r="GEJ116" s="1"/>
      <c r="GEK116" s="1"/>
      <c r="GEL116" s="1"/>
      <c r="GEM116" s="1"/>
      <c r="GEN116" s="1"/>
      <c r="GEO116" s="1"/>
      <c r="GEP116" s="1"/>
      <c r="GEQ116" s="1"/>
      <c r="GER116" s="1"/>
      <c r="GES116" s="1"/>
      <c r="GET116" s="1"/>
      <c r="GEU116" s="1"/>
      <c r="GEV116" s="1"/>
      <c r="GEW116" s="1"/>
      <c r="GEX116" s="1"/>
      <c r="GEY116" s="1"/>
      <c r="GEZ116" s="1"/>
      <c r="GFA116" s="1"/>
      <c r="GFB116" s="1"/>
      <c r="GFC116" s="1"/>
      <c r="GFD116" s="1"/>
      <c r="GFE116" s="1"/>
      <c r="GFF116" s="1"/>
      <c r="GFG116" s="1"/>
      <c r="GFH116" s="1"/>
      <c r="GFI116" s="1"/>
      <c r="GFJ116" s="1"/>
      <c r="GFK116" s="1"/>
      <c r="GFL116" s="1"/>
      <c r="GFM116" s="1"/>
      <c r="GFN116" s="1"/>
      <c r="GFO116" s="1"/>
      <c r="GFP116" s="1"/>
      <c r="GFQ116" s="1"/>
      <c r="GFR116" s="1"/>
      <c r="GFS116" s="1"/>
      <c r="GFT116" s="1"/>
      <c r="GFU116" s="1"/>
      <c r="GFV116" s="1"/>
      <c r="GFW116" s="1"/>
      <c r="GFX116" s="1"/>
      <c r="GFY116" s="1"/>
      <c r="GFZ116" s="1"/>
      <c r="GGA116" s="1"/>
      <c r="GGB116" s="1"/>
      <c r="GGC116" s="1"/>
      <c r="GGD116" s="1"/>
      <c r="GGE116" s="1"/>
      <c r="GGF116" s="1"/>
      <c r="GGG116" s="1"/>
      <c r="GGH116" s="1"/>
      <c r="GGI116" s="1"/>
      <c r="GGJ116" s="1"/>
      <c r="GGK116" s="1"/>
      <c r="GGL116" s="1"/>
      <c r="GGM116" s="1"/>
      <c r="GGN116" s="1"/>
      <c r="GGO116" s="1"/>
      <c r="GGP116" s="1"/>
      <c r="GGQ116" s="1"/>
      <c r="GGR116" s="1"/>
      <c r="GGS116" s="1"/>
      <c r="GGT116" s="1"/>
      <c r="GGU116" s="1"/>
      <c r="GGV116" s="1"/>
      <c r="GGW116" s="1"/>
      <c r="GGX116" s="1"/>
      <c r="GGY116" s="1"/>
      <c r="GGZ116" s="1"/>
      <c r="GHA116" s="1"/>
      <c r="GHB116" s="1"/>
      <c r="GHC116" s="1"/>
      <c r="GHD116" s="1"/>
      <c r="GHE116" s="1"/>
      <c r="GHF116" s="1"/>
      <c r="GHG116" s="1"/>
      <c r="GHH116" s="1"/>
      <c r="GHI116" s="1"/>
      <c r="GHJ116" s="1"/>
      <c r="GHK116" s="1"/>
      <c r="GHL116" s="1"/>
      <c r="GHM116" s="1"/>
      <c r="GHN116" s="1"/>
      <c r="GHO116" s="1"/>
      <c r="GHP116" s="1"/>
      <c r="GHQ116" s="1"/>
      <c r="GHR116" s="1"/>
      <c r="GHS116" s="1"/>
      <c r="GHT116" s="1"/>
      <c r="GHU116" s="1"/>
      <c r="GHV116" s="1"/>
      <c r="GHW116" s="1"/>
      <c r="GHX116" s="1"/>
      <c r="GHY116" s="1"/>
      <c r="GHZ116" s="1"/>
      <c r="GIA116" s="1"/>
      <c r="GIB116" s="1"/>
      <c r="GIC116" s="1"/>
      <c r="GID116" s="1"/>
      <c r="GIE116" s="1"/>
      <c r="GIF116" s="1"/>
      <c r="GIG116" s="1"/>
      <c r="GIH116" s="1"/>
      <c r="GII116" s="1"/>
      <c r="GIJ116" s="1"/>
      <c r="GIK116" s="1"/>
      <c r="GIL116" s="1"/>
      <c r="GIM116" s="1"/>
      <c r="GIN116" s="1"/>
      <c r="GIO116" s="1"/>
      <c r="GIP116" s="1"/>
      <c r="GIQ116" s="1"/>
      <c r="GIR116" s="1"/>
      <c r="GIS116" s="1"/>
      <c r="GIT116" s="1"/>
      <c r="GIU116" s="1"/>
      <c r="GIV116" s="1"/>
      <c r="GIW116" s="1"/>
      <c r="GIX116" s="1"/>
      <c r="GIY116" s="1"/>
      <c r="GIZ116" s="1"/>
      <c r="GJA116" s="1"/>
      <c r="GJB116" s="1"/>
      <c r="GJC116" s="1"/>
      <c r="GJD116" s="1"/>
      <c r="GJE116" s="1"/>
      <c r="GJF116" s="1"/>
      <c r="GJG116" s="1"/>
      <c r="GJH116" s="1"/>
      <c r="GJI116" s="1"/>
      <c r="GJJ116" s="1"/>
      <c r="GJK116" s="1"/>
      <c r="GJL116" s="1"/>
      <c r="GJM116" s="1"/>
      <c r="GJN116" s="1"/>
      <c r="GJO116" s="1"/>
      <c r="GJP116" s="1"/>
      <c r="GJQ116" s="1"/>
      <c r="GJR116" s="1"/>
      <c r="GJS116" s="1"/>
      <c r="GJT116" s="1"/>
      <c r="GJU116" s="1"/>
      <c r="GJV116" s="1"/>
      <c r="GJW116" s="1"/>
      <c r="GJX116" s="1"/>
      <c r="GJY116" s="1"/>
      <c r="GJZ116" s="1"/>
      <c r="GKA116" s="1"/>
      <c r="GKB116" s="1"/>
      <c r="GKC116" s="1"/>
      <c r="GKD116" s="1"/>
      <c r="GKE116" s="1"/>
      <c r="GKF116" s="1"/>
      <c r="GKG116" s="1"/>
      <c r="GKH116" s="1"/>
      <c r="GKI116" s="1"/>
      <c r="GKJ116" s="1"/>
      <c r="GKK116" s="1"/>
      <c r="GKL116" s="1"/>
      <c r="GKM116" s="1"/>
      <c r="GKN116" s="1"/>
      <c r="GKO116" s="1"/>
      <c r="GKP116" s="1"/>
      <c r="GKQ116" s="1"/>
      <c r="GKR116" s="1"/>
      <c r="GKS116" s="1"/>
      <c r="GKT116" s="1"/>
      <c r="GKU116" s="1"/>
      <c r="GKV116" s="1"/>
      <c r="GKW116" s="1"/>
      <c r="GKX116" s="1"/>
      <c r="GKY116" s="1"/>
      <c r="GKZ116" s="1"/>
      <c r="GLA116" s="1"/>
      <c r="GLB116" s="1"/>
      <c r="GLC116" s="1"/>
      <c r="GLD116" s="1"/>
      <c r="GLE116" s="1"/>
      <c r="GLF116" s="1"/>
      <c r="GLG116" s="1"/>
      <c r="GLH116" s="1"/>
      <c r="GLI116" s="1"/>
      <c r="GLJ116" s="1"/>
      <c r="GLK116" s="1"/>
      <c r="GLL116" s="1"/>
      <c r="GLM116" s="1"/>
      <c r="GLN116" s="1"/>
      <c r="GLO116" s="1"/>
      <c r="GLP116" s="1"/>
      <c r="GLQ116" s="1"/>
      <c r="GLR116" s="1"/>
      <c r="GLS116" s="1"/>
      <c r="GLT116" s="1"/>
      <c r="GLU116" s="1"/>
      <c r="GLV116" s="1"/>
      <c r="GLW116" s="1"/>
      <c r="GLX116" s="1"/>
      <c r="GLY116" s="1"/>
      <c r="GLZ116" s="1"/>
      <c r="GMA116" s="1"/>
      <c r="GMB116" s="1"/>
      <c r="GMC116" s="1"/>
      <c r="GMD116" s="1"/>
      <c r="GME116" s="1"/>
      <c r="GMF116" s="1"/>
      <c r="GMG116" s="1"/>
      <c r="GMH116" s="1"/>
      <c r="GMI116" s="1"/>
      <c r="GMJ116" s="1"/>
      <c r="GMK116" s="1"/>
      <c r="GML116" s="1"/>
      <c r="GMM116" s="1"/>
      <c r="GMN116" s="1"/>
      <c r="GMO116" s="1"/>
      <c r="GMP116" s="1"/>
      <c r="GMQ116" s="1"/>
      <c r="GMR116" s="1"/>
      <c r="GMS116" s="1"/>
      <c r="GMT116" s="1"/>
      <c r="GMU116" s="1"/>
      <c r="GMV116" s="1"/>
      <c r="GMW116" s="1"/>
      <c r="GMX116" s="1"/>
      <c r="GMY116" s="1"/>
      <c r="GMZ116" s="1"/>
      <c r="GNA116" s="1"/>
      <c r="GNB116" s="1"/>
      <c r="GNC116" s="1"/>
      <c r="GND116" s="1"/>
      <c r="GNE116" s="1"/>
      <c r="GNF116" s="1"/>
      <c r="GNG116" s="1"/>
      <c r="GNH116" s="1"/>
      <c r="GNI116" s="1"/>
      <c r="GNJ116" s="1"/>
      <c r="GNK116" s="1"/>
      <c r="GNL116" s="1"/>
      <c r="GNM116" s="1"/>
      <c r="GNN116" s="1"/>
      <c r="GNO116" s="1"/>
      <c r="GNP116" s="1"/>
      <c r="GNQ116" s="1"/>
      <c r="GNR116" s="1"/>
      <c r="GNS116" s="1"/>
      <c r="GNT116" s="1"/>
      <c r="GNU116" s="1"/>
      <c r="GNV116" s="1"/>
      <c r="GNW116" s="1"/>
      <c r="GNX116" s="1"/>
      <c r="GNY116" s="1"/>
      <c r="GNZ116" s="1"/>
      <c r="GOA116" s="1"/>
      <c r="GOB116" s="1"/>
      <c r="GOC116" s="1"/>
      <c r="GOD116" s="1"/>
      <c r="GOE116" s="1"/>
      <c r="GOF116" s="1"/>
      <c r="GOG116" s="1"/>
      <c r="GOH116" s="1"/>
      <c r="GOI116" s="1"/>
      <c r="GOJ116" s="1"/>
      <c r="GOK116" s="1"/>
      <c r="GOL116" s="1"/>
      <c r="GOM116" s="1"/>
      <c r="GON116" s="1"/>
      <c r="GOO116" s="1"/>
      <c r="GOP116" s="1"/>
      <c r="GOQ116" s="1"/>
      <c r="GOR116" s="1"/>
      <c r="GOS116" s="1"/>
      <c r="GOT116" s="1"/>
      <c r="GOU116" s="1"/>
      <c r="GOV116" s="1"/>
      <c r="GOW116" s="1"/>
      <c r="GOX116" s="1"/>
      <c r="GOY116" s="1"/>
      <c r="GOZ116" s="1"/>
      <c r="GPA116" s="1"/>
      <c r="GPB116" s="1"/>
      <c r="GPC116" s="1"/>
      <c r="GPD116" s="1"/>
      <c r="GPE116" s="1"/>
      <c r="GPF116" s="1"/>
      <c r="GPG116" s="1"/>
      <c r="GPH116" s="1"/>
      <c r="GPI116" s="1"/>
      <c r="GPJ116" s="1"/>
      <c r="GPK116" s="1"/>
      <c r="GPL116" s="1"/>
      <c r="GPM116" s="1"/>
      <c r="GPN116" s="1"/>
      <c r="GPO116" s="1"/>
      <c r="GPP116" s="1"/>
      <c r="GPQ116" s="1"/>
      <c r="GPR116" s="1"/>
      <c r="GPS116" s="1"/>
      <c r="GPT116" s="1"/>
      <c r="GPU116" s="1"/>
      <c r="GPV116" s="1"/>
      <c r="GPW116" s="1"/>
      <c r="GPX116" s="1"/>
      <c r="GPY116" s="1"/>
      <c r="GPZ116" s="1"/>
      <c r="GQA116" s="1"/>
      <c r="GQB116" s="1"/>
      <c r="GQC116" s="1"/>
      <c r="GQD116" s="1"/>
      <c r="GQE116" s="1"/>
      <c r="GQF116" s="1"/>
      <c r="GQG116" s="1"/>
      <c r="GQH116" s="1"/>
      <c r="GQI116" s="1"/>
      <c r="GQJ116" s="1"/>
      <c r="GQK116" s="1"/>
      <c r="GQL116" s="1"/>
      <c r="GQM116" s="1"/>
      <c r="GQN116" s="1"/>
      <c r="GQO116" s="1"/>
      <c r="GQP116" s="1"/>
      <c r="GQQ116" s="1"/>
      <c r="GQR116" s="1"/>
      <c r="GQS116" s="1"/>
      <c r="GQT116" s="1"/>
      <c r="GQU116" s="1"/>
      <c r="GQV116" s="1"/>
      <c r="GQW116" s="1"/>
      <c r="GQX116" s="1"/>
      <c r="GQY116" s="1"/>
      <c r="GQZ116" s="1"/>
      <c r="GRA116" s="1"/>
      <c r="GRB116" s="1"/>
      <c r="GRC116" s="1"/>
      <c r="GRD116" s="1"/>
      <c r="GRE116" s="1"/>
      <c r="GRF116" s="1"/>
      <c r="GRG116" s="1"/>
      <c r="GRH116" s="1"/>
      <c r="GRI116" s="1"/>
      <c r="GRJ116" s="1"/>
      <c r="GRK116" s="1"/>
      <c r="GRL116" s="1"/>
      <c r="GRM116" s="1"/>
      <c r="GRN116" s="1"/>
      <c r="GRO116" s="1"/>
      <c r="GRP116" s="1"/>
      <c r="GRQ116" s="1"/>
      <c r="GRR116" s="1"/>
      <c r="GRS116" s="1"/>
      <c r="GRT116" s="1"/>
      <c r="GRU116" s="1"/>
      <c r="GRV116" s="1"/>
      <c r="GRW116" s="1"/>
      <c r="GRX116" s="1"/>
      <c r="GRY116" s="1"/>
      <c r="GRZ116" s="1"/>
      <c r="GSA116" s="1"/>
      <c r="GSB116" s="1"/>
      <c r="GSC116" s="1"/>
      <c r="GSD116" s="1"/>
      <c r="GSE116" s="1"/>
      <c r="GSF116" s="1"/>
      <c r="GSG116" s="1"/>
      <c r="GSH116" s="1"/>
      <c r="GSI116" s="1"/>
      <c r="GSJ116" s="1"/>
      <c r="GSK116" s="1"/>
      <c r="GSL116" s="1"/>
      <c r="GSM116" s="1"/>
      <c r="GSN116" s="1"/>
      <c r="GSO116" s="1"/>
      <c r="GSP116" s="1"/>
      <c r="GSQ116" s="1"/>
      <c r="GSR116" s="1"/>
      <c r="GSS116" s="1"/>
      <c r="GST116" s="1"/>
      <c r="GSU116" s="1"/>
      <c r="GSV116" s="1"/>
      <c r="GSW116" s="1"/>
      <c r="GSX116" s="1"/>
      <c r="GSY116" s="1"/>
      <c r="GSZ116" s="1"/>
      <c r="GTA116" s="1"/>
      <c r="GTB116" s="1"/>
      <c r="GTC116" s="1"/>
      <c r="GTD116" s="1"/>
      <c r="GTE116" s="1"/>
      <c r="GTF116" s="1"/>
      <c r="GTG116" s="1"/>
      <c r="GTH116" s="1"/>
      <c r="GTI116" s="1"/>
      <c r="GTJ116" s="1"/>
      <c r="GTK116" s="1"/>
      <c r="GTL116" s="1"/>
      <c r="GTM116" s="1"/>
      <c r="GTN116" s="1"/>
      <c r="GTO116" s="1"/>
      <c r="GTP116" s="1"/>
      <c r="GTQ116" s="1"/>
      <c r="GTR116" s="1"/>
      <c r="GTS116" s="1"/>
      <c r="GTT116" s="1"/>
      <c r="GTU116" s="1"/>
      <c r="GTV116" s="1"/>
      <c r="GTW116" s="1"/>
      <c r="GTX116" s="1"/>
      <c r="GTY116" s="1"/>
      <c r="GTZ116" s="1"/>
      <c r="GUA116" s="1"/>
      <c r="GUB116" s="1"/>
      <c r="GUC116" s="1"/>
      <c r="GUD116" s="1"/>
      <c r="GUE116" s="1"/>
      <c r="GUF116" s="1"/>
      <c r="GUG116" s="1"/>
      <c r="GUH116" s="1"/>
      <c r="GUI116" s="1"/>
      <c r="GUJ116" s="1"/>
      <c r="GUK116" s="1"/>
      <c r="GUL116" s="1"/>
      <c r="GUM116" s="1"/>
      <c r="GUN116" s="1"/>
      <c r="GUO116" s="1"/>
      <c r="GUP116" s="1"/>
      <c r="GUQ116" s="1"/>
      <c r="GUR116" s="1"/>
      <c r="GUS116" s="1"/>
      <c r="GUT116" s="1"/>
      <c r="GUU116" s="1"/>
      <c r="GUV116" s="1"/>
      <c r="GUW116" s="1"/>
      <c r="GUX116" s="1"/>
      <c r="GUY116" s="1"/>
      <c r="GUZ116" s="1"/>
      <c r="GVA116" s="1"/>
      <c r="GVB116" s="1"/>
      <c r="GVC116" s="1"/>
      <c r="GVD116" s="1"/>
      <c r="GVE116" s="1"/>
      <c r="GVF116" s="1"/>
      <c r="GVG116" s="1"/>
      <c r="GVH116" s="1"/>
      <c r="GVI116" s="1"/>
      <c r="GVJ116" s="1"/>
      <c r="GVK116" s="1"/>
      <c r="GVL116" s="1"/>
      <c r="GVM116" s="1"/>
      <c r="GVN116" s="1"/>
      <c r="GVO116" s="1"/>
      <c r="GVP116" s="1"/>
      <c r="GVQ116" s="1"/>
      <c r="GVR116" s="1"/>
      <c r="GVS116" s="1"/>
      <c r="GVT116" s="1"/>
      <c r="GVU116" s="1"/>
      <c r="GVV116" s="1"/>
      <c r="GVW116" s="1"/>
      <c r="GVX116" s="1"/>
      <c r="GVY116" s="1"/>
      <c r="GVZ116" s="1"/>
      <c r="GWA116" s="1"/>
      <c r="GWB116" s="1"/>
      <c r="GWC116" s="1"/>
      <c r="GWD116" s="1"/>
      <c r="GWE116" s="1"/>
      <c r="GWF116" s="1"/>
      <c r="GWG116" s="1"/>
      <c r="GWH116" s="1"/>
      <c r="GWI116" s="1"/>
      <c r="GWJ116" s="1"/>
      <c r="GWK116" s="1"/>
      <c r="GWL116" s="1"/>
      <c r="GWM116" s="1"/>
      <c r="GWN116" s="1"/>
      <c r="GWO116" s="1"/>
      <c r="GWP116" s="1"/>
      <c r="GWQ116" s="1"/>
      <c r="GWR116" s="1"/>
      <c r="GWS116" s="1"/>
      <c r="GWT116" s="1"/>
      <c r="GWU116" s="1"/>
      <c r="GWV116" s="1"/>
      <c r="GWW116" s="1"/>
      <c r="GWX116" s="1"/>
      <c r="GWY116" s="1"/>
      <c r="GWZ116" s="1"/>
      <c r="GXA116" s="1"/>
      <c r="GXB116" s="1"/>
      <c r="GXC116" s="1"/>
      <c r="GXD116" s="1"/>
      <c r="GXE116" s="1"/>
      <c r="GXF116" s="1"/>
      <c r="GXG116" s="1"/>
      <c r="GXH116" s="1"/>
      <c r="GXI116" s="1"/>
      <c r="GXJ116" s="1"/>
      <c r="GXK116" s="1"/>
      <c r="GXL116" s="1"/>
      <c r="GXM116" s="1"/>
      <c r="GXN116" s="1"/>
      <c r="GXO116" s="1"/>
      <c r="GXP116" s="1"/>
      <c r="GXQ116" s="1"/>
      <c r="GXR116" s="1"/>
      <c r="GXS116" s="1"/>
      <c r="GXT116" s="1"/>
      <c r="GXU116" s="1"/>
      <c r="GXV116" s="1"/>
      <c r="GXW116" s="1"/>
      <c r="GXX116" s="1"/>
      <c r="GXY116" s="1"/>
      <c r="GXZ116" s="1"/>
      <c r="GYA116" s="1"/>
      <c r="GYB116" s="1"/>
      <c r="GYC116" s="1"/>
      <c r="GYD116" s="1"/>
      <c r="GYE116" s="1"/>
      <c r="GYF116" s="1"/>
      <c r="GYG116" s="1"/>
      <c r="GYH116" s="1"/>
      <c r="GYI116" s="1"/>
      <c r="GYJ116" s="1"/>
      <c r="GYK116" s="1"/>
      <c r="GYL116" s="1"/>
      <c r="GYM116" s="1"/>
      <c r="GYN116" s="1"/>
      <c r="GYO116" s="1"/>
      <c r="GYP116" s="1"/>
      <c r="GYQ116" s="1"/>
      <c r="GYR116" s="1"/>
      <c r="GYS116" s="1"/>
      <c r="GYT116" s="1"/>
      <c r="GYU116" s="1"/>
      <c r="GYV116" s="1"/>
      <c r="GYW116" s="1"/>
      <c r="GYX116" s="1"/>
      <c r="GYY116" s="1"/>
      <c r="GYZ116" s="1"/>
      <c r="GZA116" s="1"/>
      <c r="GZB116" s="1"/>
      <c r="GZC116" s="1"/>
      <c r="GZD116" s="1"/>
      <c r="GZE116" s="1"/>
      <c r="GZF116" s="1"/>
      <c r="GZG116" s="1"/>
      <c r="GZH116" s="1"/>
      <c r="GZI116" s="1"/>
      <c r="GZJ116" s="1"/>
      <c r="GZK116" s="1"/>
      <c r="GZL116" s="1"/>
      <c r="GZM116" s="1"/>
      <c r="GZN116" s="1"/>
      <c r="GZO116" s="1"/>
      <c r="GZP116" s="1"/>
      <c r="GZQ116" s="1"/>
      <c r="GZR116" s="1"/>
      <c r="GZS116" s="1"/>
      <c r="GZT116" s="1"/>
      <c r="GZU116" s="1"/>
      <c r="GZV116" s="1"/>
      <c r="GZW116" s="1"/>
      <c r="GZX116" s="1"/>
      <c r="GZY116" s="1"/>
      <c r="GZZ116" s="1"/>
      <c r="HAA116" s="1"/>
      <c r="HAB116" s="1"/>
      <c r="HAC116" s="1"/>
      <c r="HAD116" s="1"/>
      <c r="HAE116" s="1"/>
      <c r="HAF116" s="1"/>
      <c r="HAG116" s="1"/>
      <c r="HAH116" s="1"/>
      <c r="HAI116" s="1"/>
      <c r="HAJ116" s="1"/>
      <c r="HAK116" s="1"/>
      <c r="HAL116" s="1"/>
      <c r="HAM116" s="1"/>
      <c r="HAN116" s="1"/>
      <c r="HAO116" s="1"/>
      <c r="HAP116" s="1"/>
      <c r="HAQ116" s="1"/>
      <c r="HAR116" s="1"/>
      <c r="HAS116" s="1"/>
      <c r="HAT116" s="1"/>
      <c r="HAU116" s="1"/>
      <c r="HAV116" s="1"/>
      <c r="HAW116" s="1"/>
      <c r="HAX116" s="1"/>
      <c r="HAY116" s="1"/>
      <c r="HAZ116" s="1"/>
      <c r="HBA116" s="1"/>
      <c r="HBB116" s="1"/>
      <c r="HBC116" s="1"/>
      <c r="HBD116" s="1"/>
      <c r="HBE116" s="1"/>
      <c r="HBF116" s="1"/>
      <c r="HBG116" s="1"/>
      <c r="HBH116" s="1"/>
      <c r="HBI116" s="1"/>
      <c r="HBJ116" s="1"/>
      <c r="HBK116" s="1"/>
      <c r="HBL116" s="1"/>
      <c r="HBM116" s="1"/>
      <c r="HBN116" s="1"/>
      <c r="HBO116" s="1"/>
      <c r="HBP116" s="1"/>
      <c r="HBQ116" s="1"/>
      <c r="HBR116" s="1"/>
      <c r="HBS116" s="1"/>
      <c r="HBT116" s="1"/>
      <c r="HBU116" s="1"/>
      <c r="HBV116" s="1"/>
      <c r="HBW116" s="1"/>
      <c r="HBX116" s="1"/>
      <c r="HBY116" s="1"/>
      <c r="HBZ116" s="1"/>
      <c r="HCA116" s="1"/>
      <c r="HCB116" s="1"/>
      <c r="HCC116" s="1"/>
      <c r="HCD116" s="1"/>
      <c r="HCE116" s="1"/>
      <c r="HCF116" s="1"/>
      <c r="HCG116" s="1"/>
      <c r="HCH116" s="1"/>
      <c r="HCI116" s="1"/>
      <c r="HCJ116" s="1"/>
      <c r="HCK116" s="1"/>
      <c r="HCL116" s="1"/>
      <c r="HCM116" s="1"/>
      <c r="HCN116" s="1"/>
      <c r="HCO116" s="1"/>
      <c r="HCP116" s="1"/>
      <c r="HCQ116" s="1"/>
      <c r="HCR116" s="1"/>
      <c r="HCS116" s="1"/>
      <c r="HCT116" s="1"/>
      <c r="HCU116" s="1"/>
      <c r="HCV116" s="1"/>
      <c r="HCW116" s="1"/>
      <c r="HCX116" s="1"/>
      <c r="HCY116" s="1"/>
      <c r="HCZ116" s="1"/>
      <c r="HDA116" s="1"/>
      <c r="HDB116" s="1"/>
      <c r="HDC116" s="1"/>
      <c r="HDD116" s="1"/>
      <c r="HDE116" s="1"/>
      <c r="HDF116" s="1"/>
      <c r="HDG116" s="1"/>
      <c r="HDH116" s="1"/>
      <c r="HDI116" s="1"/>
      <c r="HDJ116" s="1"/>
      <c r="HDK116" s="1"/>
      <c r="HDL116" s="1"/>
      <c r="HDM116" s="1"/>
      <c r="HDN116" s="1"/>
      <c r="HDO116" s="1"/>
      <c r="HDP116" s="1"/>
      <c r="HDQ116" s="1"/>
      <c r="HDR116" s="1"/>
      <c r="HDS116" s="1"/>
      <c r="HDT116" s="1"/>
      <c r="HDU116" s="1"/>
      <c r="HDV116" s="1"/>
      <c r="HDW116" s="1"/>
      <c r="HDX116" s="1"/>
      <c r="HDY116" s="1"/>
      <c r="HDZ116" s="1"/>
      <c r="HEA116" s="1"/>
      <c r="HEB116" s="1"/>
      <c r="HEC116" s="1"/>
      <c r="HED116" s="1"/>
      <c r="HEE116" s="1"/>
      <c r="HEF116" s="1"/>
      <c r="HEG116" s="1"/>
      <c r="HEH116" s="1"/>
      <c r="HEI116" s="1"/>
      <c r="HEJ116" s="1"/>
      <c r="HEK116" s="1"/>
      <c r="HEL116" s="1"/>
      <c r="HEM116" s="1"/>
      <c r="HEN116" s="1"/>
      <c r="HEO116" s="1"/>
      <c r="HEP116" s="1"/>
      <c r="HEQ116" s="1"/>
      <c r="HER116" s="1"/>
      <c r="HES116" s="1"/>
      <c r="HET116" s="1"/>
      <c r="HEU116" s="1"/>
      <c r="HEV116" s="1"/>
      <c r="HEW116" s="1"/>
      <c r="HEX116" s="1"/>
      <c r="HEY116" s="1"/>
      <c r="HEZ116" s="1"/>
      <c r="HFA116" s="1"/>
      <c r="HFB116" s="1"/>
      <c r="HFC116" s="1"/>
      <c r="HFD116" s="1"/>
      <c r="HFE116" s="1"/>
      <c r="HFF116" s="1"/>
      <c r="HFG116" s="1"/>
      <c r="HFH116" s="1"/>
      <c r="HFI116" s="1"/>
      <c r="HFJ116" s="1"/>
      <c r="HFK116" s="1"/>
      <c r="HFL116" s="1"/>
      <c r="HFM116" s="1"/>
      <c r="HFN116" s="1"/>
      <c r="HFO116" s="1"/>
      <c r="HFP116" s="1"/>
      <c r="HFQ116" s="1"/>
      <c r="HFR116" s="1"/>
      <c r="HFS116" s="1"/>
      <c r="HFT116" s="1"/>
      <c r="HFU116" s="1"/>
      <c r="HFV116" s="1"/>
      <c r="HFW116" s="1"/>
      <c r="HFX116" s="1"/>
      <c r="HFY116" s="1"/>
      <c r="HFZ116" s="1"/>
      <c r="HGA116" s="1"/>
      <c r="HGB116" s="1"/>
      <c r="HGC116" s="1"/>
      <c r="HGD116" s="1"/>
      <c r="HGE116" s="1"/>
      <c r="HGF116" s="1"/>
      <c r="HGG116" s="1"/>
      <c r="HGH116" s="1"/>
      <c r="HGI116" s="1"/>
      <c r="HGJ116" s="1"/>
      <c r="HGK116" s="1"/>
      <c r="HGL116" s="1"/>
      <c r="HGM116" s="1"/>
      <c r="HGN116" s="1"/>
      <c r="HGO116" s="1"/>
      <c r="HGP116" s="1"/>
      <c r="HGQ116" s="1"/>
      <c r="HGR116" s="1"/>
      <c r="HGS116" s="1"/>
      <c r="HGT116" s="1"/>
      <c r="HGU116" s="1"/>
      <c r="HGV116" s="1"/>
      <c r="HGW116" s="1"/>
      <c r="HGX116" s="1"/>
      <c r="HGY116" s="1"/>
      <c r="HGZ116" s="1"/>
      <c r="HHA116" s="1"/>
      <c r="HHB116" s="1"/>
      <c r="HHC116" s="1"/>
      <c r="HHD116" s="1"/>
      <c r="HHE116" s="1"/>
      <c r="HHF116" s="1"/>
      <c r="HHG116" s="1"/>
      <c r="HHH116" s="1"/>
      <c r="HHI116" s="1"/>
      <c r="HHJ116" s="1"/>
      <c r="HHK116" s="1"/>
      <c r="HHL116" s="1"/>
      <c r="HHM116" s="1"/>
      <c r="HHN116" s="1"/>
      <c r="HHO116" s="1"/>
      <c r="HHP116" s="1"/>
      <c r="HHQ116" s="1"/>
      <c r="HHR116" s="1"/>
      <c r="HHS116" s="1"/>
      <c r="HHT116" s="1"/>
      <c r="HHU116" s="1"/>
      <c r="HHV116" s="1"/>
      <c r="HHW116" s="1"/>
      <c r="HHX116" s="1"/>
      <c r="HHY116" s="1"/>
      <c r="HHZ116" s="1"/>
      <c r="HIA116" s="1"/>
      <c r="HIB116" s="1"/>
      <c r="HIC116" s="1"/>
      <c r="HID116" s="1"/>
      <c r="HIE116" s="1"/>
      <c r="HIF116" s="1"/>
      <c r="HIG116" s="1"/>
      <c r="HIH116" s="1"/>
      <c r="HII116" s="1"/>
      <c r="HIJ116" s="1"/>
      <c r="HIK116" s="1"/>
      <c r="HIL116" s="1"/>
      <c r="HIM116" s="1"/>
      <c r="HIN116" s="1"/>
      <c r="HIO116" s="1"/>
      <c r="HIP116" s="1"/>
      <c r="HIQ116" s="1"/>
      <c r="HIR116" s="1"/>
      <c r="HIS116" s="1"/>
      <c r="HIT116" s="1"/>
      <c r="HIU116" s="1"/>
      <c r="HIV116" s="1"/>
      <c r="HIW116" s="1"/>
      <c r="HIX116" s="1"/>
      <c r="HIY116" s="1"/>
      <c r="HIZ116" s="1"/>
      <c r="HJA116" s="1"/>
      <c r="HJB116" s="1"/>
      <c r="HJC116" s="1"/>
      <c r="HJD116" s="1"/>
      <c r="HJE116" s="1"/>
      <c r="HJF116" s="1"/>
      <c r="HJG116" s="1"/>
      <c r="HJH116" s="1"/>
      <c r="HJI116" s="1"/>
      <c r="HJJ116" s="1"/>
      <c r="HJK116" s="1"/>
      <c r="HJL116" s="1"/>
      <c r="HJM116" s="1"/>
      <c r="HJN116" s="1"/>
      <c r="HJO116" s="1"/>
      <c r="HJP116" s="1"/>
      <c r="HJQ116" s="1"/>
      <c r="HJR116" s="1"/>
      <c r="HJS116" s="1"/>
      <c r="HJT116" s="1"/>
      <c r="HJU116" s="1"/>
      <c r="HJV116" s="1"/>
      <c r="HJW116" s="1"/>
      <c r="HJX116" s="1"/>
      <c r="HJY116" s="1"/>
      <c r="HJZ116" s="1"/>
      <c r="HKA116" s="1"/>
      <c r="HKB116" s="1"/>
      <c r="HKC116" s="1"/>
      <c r="HKD116" s="1"/>
      <c r="HKE116" s="1"/>
      <c r="HKF116" s="1"/>
      <c r="HKG116" s="1"/>
      <c r="HKH116" s="1"/>
      <c r="HKI116" s="1"/>
      <c r="HKJ116" s="1"/>
      <c r="HKK116" s="1"/>
      <c r="HKL116" s="1"/>
      <c r="HKM116" s="1"/>
      <c r="HKN116" s="1"/>
      <c r="HKO116" s="1"/>
      <c r="HKP116" s="1"/>
      <c r="HKQ116" s="1"/>
      <c r="HKR116" s="1"/>
      <c r="HKS116" s="1"/>
      <c r="HKT116" s="1"/>
      <c r="HKU116" s="1"/>
      <c r="HKV116" s="1"/>
      <c r="HKW116" s="1"/>
      <c r="HKX116" s="1"/>
      <c r="HKY116" s="1"/>
      <c r="HKZ116" s="1"/>
      <c r="HLA116" s="1"/>
      <c r="HLB116" s="1"/>
      <c r="HLC116" s="1"/>
      <c r="HLD116" s="1"/>
      <c r="HLE116" s="1"/>
      <c r="HLF116" s="1"/>
      <c r="HLG116" s="1"/>
      <c r="HLH116" s="1"/>
      <c r="HLI116" s="1"/>
      <c r="HLJ116" s="1"/>
      <c r="HLK116" s="1"/>
      <c r="HLL116" s="1"/>
      <c r="HLM116" s="1"/>
      <c r="HLN116" s="1"/>
      <c r="HLO116" s="1"/>
      <c r="HLP116" s="1"/>
      <c r="HLQ116" s="1"/>
      <c r="HLR116" s="1"/>
      <c r="HLS116" s="1"/>
      <c r="HLT116" s="1"/>
      <c r="HLU116" s="1"/>
      <c r="HLV116" s="1"/>
      <c r="HLW116" s="1"/>
      <c r="HLX116" s="1"/>
      <c r="HLY116" s="1"/>
      <c r="HLZ116" s="1"/>
      <c r="HMA116" s="1"/>
      <c r="HMB116" s="1"/>
      <c r="HMC116" s="1"/>
      <c r="HMD116" s="1"/>
      <c r="HME116" s="1"/>
      <c r="HMF116" s="1"/>
      <c r="HMG116" s="1"/>
      <c r="HMH116" s="1"/>
      <c r="HMI116" s="1"/>
      <c r="HMJ116" s="1"/>
      <c r="HMK116" s="1"/>
      <c r="HML116" s="1"/>
      <c r="HMM116" s="1"/>
      <c r="HMN116" s="1"/>
      <c r="HMO116" s="1"/>
      <c r="HMP116" s="1"/>
      <c r="HMQ116" s="1"/>
      <c r="HMR116" s="1"/>
      <c r="HMS116" s="1"/>
      <c r="HMT116" s="1"/>
      <c r="HMU116" s="1"/>
      <c r="HMV116" s="1"/>
      <c r="HMW116" s="1"/>
      <c r="HMX116" s="1"/>
      <c r="HMY116" s="1"/>
      <c r="HMZ116" s="1"/>
      <c r="HNA116" s="1"/>
      <c r="HNB116" s="1"/>
      <c r="HNC116" s="1"/>
      <c r="HND116" s="1"/>
      <c r="HNE116" s="1"/>
      <c r="HNF116" s="1"/>
      <c r="HNG116" s="1"/>
      <c r="HNH116" s="1"/>
      <c r="HNI116" s="1"/>
      <c r="HNJ116" s="1"/>
      <c r="HNK116" s="1"/>
      <c r="HNL116" s="1"/>
      <c r="HNM116" s="1"/>
      <c r="HNN116" s="1"/>
      <c r="HNO116" s="1"/>
      <c r="HNP116" s="1"/>
      <c r="HNQ116" s="1"/>
      <c r="HNR116" s="1"/>
      <c r="HNS116" s="1"/>
      <c r="HNT116" s="1"/>
      <c r="HNU116" s="1"/>
      <c r="HNV116" s="1"/>
      <c r="HNW116" s="1"/>
      <c r="HNX116" s="1"/>
      <c r="HNY116" s="1"/>
      <c r="HNZ116" s="1"/>
      <c r="HOA116" s="1"/>
      <c r="HOB116" s="1"/>
      <c r="HOC116" s="1"/>
      <c r="HOD116" s="1"/>
      <c r="HOE116" s="1"/>
      <c r="HOF116" s="1"/>
      <c r="HOG116" s="1"/>
      <c r="HOH116" s="1"/>
      <c r="HOI116" s="1"/>
      <c r="HOJ116" s="1"/>
      <c r="HOK116" s="1"/>
      <c r="HOL116" s="1"/>
      <c r="HOM116" s="1"/>
      <c r="HON116" s="1"/>
      <c r="HOO116" s="1"/>
      <c r="HOP116" s="1"/>
      <c r="HOQ116" s="1"/>
      <c r="HOR116" s="1"/>
      <c r="HOS116" s="1"/>
      <c r="HOT116" s="1"/>
      <c r="HOU116" s="1"/>
      <c r="HOV116" s="1"/>
      <c r="HOW116" s="1"/>
      <c r="HOX116" s="1"/>
      <c r="HOY116" s="1"/>
      <c r="HOZ116" s="1"/>
      <c r="HPA116" s="1"/>
      <c r="HPB116" s="1"/>
      <c r="HPC116" s="1"/>
      <c r="HPD116" s="1"/>
      <c r="HPE116" s="1"/>
      <c r="HPF116" s="1"/>
      <c r="HPG116" s="1"/>
      <c r="HPH116" s="1"/>
      <c r="HPI116" s="1"/>
      <c r="HPJ116" s="1"/>
      <c r="HPK116" s="1"/>
      <c r="HPL116" s="1"/>
      <c r="HPM116" s="1"/>
      <c r="HPN116" s="1"/>
      <c r="HPO116" s="1"/>
      <c r="HPP116" s="1"/>
      <c r="HPQ116" s="1"/>
      <c r="HPR116" s="1"/>
      <c r="HPS116" s="1"/>
      <c r="HPT116" s="1"/>
      <c r="HPU116" s="1"/>
      <c r="HPV116" s="1"/>
      <c r="HPW116" s="1"/>
      <c r="HPX116" s="1"/>
      <c r="HPY116" s="1"/>
      <c r="HPZ116" s="1"/>
      <c r="HQA116" s="1"/>
      <c r="HQB116" s="1"/>
      <c r="HQC116" s="1"/>
      <c r="HQD116" s="1"/>
      <c r="HQE116" s="1"/>
      <c r="HQF116" s="1"/>
      <c r="HQG116" s="1"/>
      <c r="HQH116" s="1"/>
      <c r="HQI116" s="1"/>
      <c r="HQJ116" s="1"/>
      <c r="HQK116" s="1"/>
      <c r="HQL116" s="1"/>
      <c r="HQM116" s="1"/>
      <c r="HQN116" s="1"/>
      <c r="HQO116" s="1"/>
      <c r="HQP116" s="1"/>
      <c r="HQQ116" s="1"/>
      <c r="HQR116" s="1"/>
      <c r="HQS116" s="1"/>
      <c r="HQT116" s="1"/>
      <c r="HQU116" s="1"/>
      <c r="HQV116" s="1"/>
      <c r="HQW116" s="1"/>
      <c r="HQX116" s="1"/>
      <c r="HQY116" s="1"/>
      <c r="HQZ116" s="1"/>
      <c r="HRA116" s="1"/>
      <c r="HRB116" s="1"/>
      <c r="HRC116" s="1"/>
      <c r="HRD116" s="1"/>
      <c r="HRE116" s="1"/>
      <c r="HRF116" s="1"/>
      <c r="HRG116" s="1"/>
      <c r="HRH116" s="1"/>
      <c r="HRI116" s="1"/>
      <c r="HRJ116" s="1"/>
      <c r="HRK116" s="1"/>
      <c r="HRL116" s="1"/>
      <c r="HRM116" s="1"/>
      <c r="HRN116" s="1"/>
      <c r="HRO116" s="1"/>
      <c r="HRP116" s="1"/>
      <c r="HRQ116" s="1"/>
      <c r="HRR116" s="1"/>
      <c r="HRS116" s="1"/>
      <c r="HRT116" s="1"/>
      <c r="HRU116" s="1"/>
      <c r="HRV116" s="1"/>
      <c r="HRW116" s="1"/>
      <c r="HRX116" s="1"/>
      <c r="HRY116" s="1"/>
      <c r="HRZ116" s="1"/>
      <c r="HSA116" s="1"/>
      <c r="HSB116" s="1"/>
      <c r="HSC116" s="1"/>
      <c r="HSD116" s="1"/>
      <c r="HSE116" s="1"/>
      <c r="HSF116" s="1"/>
      <c r="HSG116" s="1"/>
      <c r="HSH116" s="1"/>
      <c r="HSI116" s="1"/>
      <c r="HSJ116" s="1"/>
      <c r="HSK116" s="1"/>
      <c r="HSL116" s="1"/>
      <c r="HSM116" s="1"/>
      <c r="HSN116" s="1"/>
      <c r="HSO116" s="1"/>
      <c r="HSP116" s="1"/>
      <c r="HSQ116" s="1"/>
      <c r="HSR116" s="1"/>
      <c r="HSS116" s="1"/>
      <c r="HST116" s="1"/>
      <c r="HSU116" s="1"/>
      <c r="HSV116" s="1"/>
      <c r="HSW116" s="1"/>
      <c r="HSX116" s="1"/>
      <c r="HSY116" s="1"/>
      <c r="HSZ116" s="1"/>
      <c r="HTA116" s="1"/>
      <c r="HTB116" s="1"/>
      <c r="HTC116" s="1"/>
      <c r="HTD116" s="1"/>
      <c r="HTE116" s="1"/>
      <c r="HTF116" s="1"/>
      <c r="HTG116" s="1"/>
      <c r="HTH116" s="1"/>
      <c r="HTI116" s="1"/>
      <c r="HTJ116" s="1"/>
      <c r="HTK116" s="1"/>
      <c r="HTL116" s="1"/>
      <c r="HTM116" s="1"/>
      <c r="HTN116" s="1"/>
      <c r="HTO116" s="1"/>
      <c r="HTP116" s="1"/>
      <c r="HTQ116" s="1"/>
      <c r="HTR116" s="1"/>
      <c r="HTS116" s="1"/>
      <c r="HTT116" s="1"/>
      <c r="HTU116" s="1"/>
      <c r="HTV116" s="1"/>
      <c r="HTW116" s="1"/>
      <c r="HTX116" s="1"/>
      <c r="HTY116" s="1"/>
      <c r="HTZ116" s="1"/>
      <c r="HUA116" s="1"/>
      <c r="HUB116" s="1"/>
      <c r="HUC116" s="1"/>
      <c r="HUD116" s="1"/>
      <c r="HUE116" s="1"/>
      <c r="HUF116" s="1"/>
      <c r="HUG116" s="1"/>
      <c r="HUH116" s="1"/>
      <c r="HUI116" s="1"/>
      <c r="HUJ116" s="1"/>
      <c r="HUK116" s="1"/>
      <c r="HUL116" s="1"/>
      <c r="HUM116" s="1"/>
      <c r="HUN116" s="1"/>
      <c r="HUO116" s="1"/>
      <c r="HUP116" s="1"/>
      <c r="HUQ116" s="1"/>
      <c r="HUR116" s="1"/>
      <c r="HUS116" s="1"/>
      <c r="HUT116" s="1"/>
      <c r="HUU116" s="1"/>
      <c r="HUV116" s="1"/>
      <c r="HUW116" s="1"/>
      <c r="HUX116" s="1"/>
      <c r="HUY116" s="1"/>
      <c r="HUZ116" s="1"/>
      <c r="HVA116" s="1"/>
      <c r="HVB116" s="1"/>
      <c r="HVC116" s="1"/>
      <c r="HVD116" s="1"/>
      <c r="HVE116" s="1"/>
      <c r="HVF116" s="1"/>
      <c r="HVG116" s="1"/>
      <c r="HVH116" s="1"/>
      <c r="HVI116" s="1"/>
      <c r="HVJ116" s="1"/>
      <c r="HVK116" s="1"/>
      <c r="HVL116" s="1"/>
      <c r="HVM116" s="1"/>
      <c r="HVN116" s="1"/>
      <c r="HVO116" s="1"/>
      <c r="HVP116" s="1"/>
      <c r="HVQ116" s="1"/>
      <c r="HVR116" s="1"/>
      <c r="HVS116" s="1"/>
      <c r="HVT116" s="1"/>
      <c r="HVU116" s="1"/>
      <c r="HVV116" s="1"/>
      <c r="HVW116" s="1"/>
      <c r="HVX116" s="1"/>
      <c r="HVY116" s="1"/>
      <c r="HVZ116" s="1"/>
      <c r="HWA116" s="1"/>
      <c r="HWB116" s="1"/>
      <c r="HWC116" s="1"/>
      <c r="HWD116" s="1"/>
      <c r="HWE116" s="1"/>
      <c r="HWF116" s="1"/>
      <c r="HWG116" s="1"/>
      <c r="HWH116" s="1"/>
      <c r="HWI116" s="1"/>
      <c r="HWJ116" s="1"/>
      <c r="HWK116" s="1"/>
      <c r="HWL116" s="1"/>
      <c r="HWM116" s="1"/>
      <c r="HWN116" s="1"/>
      <c r="HWO116" s="1"/>
      <c r="HWP116" s="1"/>
      <c r="HWQ116" s="1"/>
      <c r="HWR116" s="1"/>
      <c r="HWS116" s="1"/>
      <c r="HWT116" s="1"/>
      <c r="HWU116" s="1"/>
      <c r="HWV116" s="1"/>
      <c r="HWW116" s="1"/>
      <c r="HWX116" s="1"/>
      <c r="HWY116" s="1"/>
      <c r="HWZ116" s="1"/>
      <c r="HXA116" s="1"/>
      <c r="HXB116" s="1"/>
      <c r="HXC116" s="1"/>
      <c r="HXD116" s="1"/>
      <c r="HXE116" s="1"/>
      <c r="HXF116" s="1"/>
      <c r="HXG116" s="1"/>
      <c r="HXH116" s="1"/>
      <c r="HXI116" s="1"/>
      <c r="HXJ116" s="1"/>
      <c r="HXK116" s="1"/>
      <c r="HXL116" s="1"/>
      <c r="HXM116" s="1"/>
      <c r="HXN116" s="1"/>
      <c r="HXO116" s="1"/>
      <c r="HXP116" s="1"/>
      <c r="HXQ116" s="1"/>
      <c r="HXR116" s="1"/>
      <c r="HXS116" s="1"/>
      <c r="HXT116" s="1"/>
      <c r="HXU116" s="1"/>
      <c r="HXV116" s="1"/>
      <c r="HXW116" s="1"/>
      <c r="HXX116" s="1"/>
      <c r="HXY116" s="1"/>
      <c r="HXZ116" s="1"/>
      <c r="HYA116" s="1"/>
      <c r="HYB116" s="1"/>
      <c r="HYC116" s="1"/>
      <c r="HYD116" s="1"/>
      <c r="HYE116" s="1"/>
      <c r="HYF116" s="1"/>
      <c r="HYG116" s="1"/>
      <c r="HYH116" s="1"/>
      <c r="HYI116" s="1"/>
      <c r="HYJ116" s="1"/>
      <c r="HYK116" s="1"/>
      <c r="HYL116" s="1"/>
      <c r="HYM116" s="1"/>
      <c r="HYN116" s="1"/>
      <c r="HYO116" s="1"/>
      <c r="HYP116" s="1"/>
      <c r="HYQ116" s="1"/>
      <c r="HYR116" s="1"/>
      <c r="HYS116" s="1"/>
      <c r="HYT116" s="1"/>
      <c r="HYU116" s="1"/>
      <c r="HYV116" s="1"/>
      <c r="HYW116" s="1"/>
      <c r="HYX116" s="1"/>
      <c r="HYY116" s="1"/>
      <c r="HYZ116" s="1"/>
      <c r="HZA116" s="1"/>
      <c r="HZB116" s="1"/>
      <c r="HZC116" s="1"/>
      <c r="HZD116" s="1"/>
      <c r="HZE116" s="1"/>
      <c r="HZF116" s="1"/>
      <c r="HZG116" s="1"/>
      <c r="HZH116" s="1"/>
      <c r="HZI116" s="1"/>
      <c r="HZJ116" s="1"/>
      <c r="HZK116" s="1"/>
      <c r="HZL116" s="1"/>
      <c r="HZM116" s="1"/>
      <c r="HZN116" s="1"/>
      <c r="HZO116" s="1"/>
      <c r="HZP116" s="1"/>
      <c r="HZQ116" s="1"/>
      <c r="HZR116" s="1"/>
      <c r="HZS116" s="1"/>
      <c r="HZT116" s="1"/>
      <c r="HZU116" s="1"/>
      <c r="HZV116" s="1"/>
      <c r="HZW116" s="1"/>
      <c r="HZX116" s="1"/>
      <c r="HZY116" s="1"/>
      <c r="HZZ116" s="1"/>
      <c r="IAA116" s="1"/>
      <c r="IAB116" s="1"/>
      <c r="IAC116" s="1"/>
      <c r="IAD116" s="1"/>
      <c r="IAE116" s="1"/>
      <c r="IAF116" s="1"/>
      <c r="IAG116" s="1"/>
      <c r="IAH116" s="1"/>
      <c r="IAI116" s="1"/>
      <c r="IAJ116" s="1"/>
      <c r="IAK116" s="1"/>
      <c r="IAL116" s="1"/>
      <c r="IAM116" s="1"/>
      <c r="IAN116" s="1"/>
      <c r="IAO116" s="1"/>
      <c r="IAP116" s="1"/>
      <c r="IAQ116" s="1"/>
      <c r="IAR116" s="1"/>
      <c r="IAS116" s="1"/>
      <c r="IAT116" s="1"/>
      <c r="IAU116" s="1"/>
      <c r="IAV116" s="1"/>
      <c r="IAW116" s="1"/>
      <c r="IAX116" s="1"/>
      <c r="IAY116" s="1"/>
      <c r="IAZ116" s="1"/>
      <c r="IBA116" s="1"/>
      <c r="IBB116" s="1"/>
      <c r="IBC116" s="1"/>
      <c r="IBD116" s="1"/>
      <c r="IBE116" s="1"/>
      <c r="IBF116" s="1"/>
      <c r="IBG116" s="1"/>
      <c r="IBH116" s="1"/>
      <c r="IBI116" s="1"/>
      <c r="IBJ116" s="1"/>
      <c r="IBK116" s="1"/>
      <c r="IBL116" s="1"/>
      <c r="IBM116" s="1"/>
      <c r="IBN116" s="1"/>
      <c r="IBO116" s="1"/>
      <c r="IBP116" s="1"/>
      <c r="IBQ116" s="1"/>
      <c r="IBR116" s="1"/>
      <c r="IBS116" s="1"/>
      <c r="IBT116" s="1"/>
      <c r="IBU116" s="1"/>
      <c r="IBV116" s="1"/>
      <c r="IBW116" s="1"/>
      <c r="IBX116" s="1"/>
      <c r="IBY116" s="1"/>
      <c r="IBZ116" s="1"/>
      <c r="ICA116" s="1"/>
      <c r="ICB116" s="1"/>
      <c r="ICC116" s="1"/>
      <c r="ICD116" s="1"/>
      <c r="ICE116" s="1"/>
      <c r="ICF116" s="1"/>
      <c r="ICG116" s="1"/>
      <c r="ICH116" s="1"/>
      <c r="ICI116" s="1"/>
      <c r="ICJ116" s="1"/>
      <c r="ICK116" s="1"/>
      <c r="ICL116" s="1"/>
      <c r="ICM116" s="1"/>
      <c r="ICN116" s="1"/>
      <c r="ICO116" s="1"/>
      <c r="ICP116" s="1"/>
      <c r="ICQ116" s="1"/>
      <c r="ICR116" s="1"/>
      <c r="ICS116" s="1"/>
      <c r="ICT116" s="1"/>
      <c r="ICU116" s="1"/>
      <c r="ICV116" s="1"/>
      <c r="ICW116" s="1"/>
      <c r="ICX116" s="1"/>
      <c r="ICY116" s="1"/>
      <c r="ICZ116" s="1"/>
      <c r="IDA116" s="1"/>
      <c r="IDB116" s="1"/>
      <c r="IDC116" s="1"/>
      <c r="IDD116" s="1"/>
      <c r="IDE116" s="1"/>
      <c r="IDF116" s="1"/>
      <c r="IDG116" s="1"/>
      <c r="IDH116" s="1"/>
      <c r="IDI116" s="1"/>
      <c r="IDJ116" s="1"/>
      <c r="IDK116" s="1"/>
      <c r="IDL116" s="1"/>
      <c r="IDM116" s="1"/>
      <c r="IDN116" s="1"/>
      <c r="IDO116" s="1"/>
      <c r="IDP116" s="1"/>
      <c r="IDQ116" s="1"/>
      <c r="IDR116" s="1"/>
      <c r="IDS116" s="1"/>
      <c r="IDT116" s="1"/>
      <c r="IDU116" s="1"/>
      <c r="IDV116" s="1"/>
      <c r="IDW116" s="1"/>
      <c r="IDX116" s="1"/>
      <c r="IDY116" s="1"/>
      <c r="IDZ116" s="1"/>
      <c r="IEA116" s="1"/>
      <c r="IEB116" s="1"/>
      <c r="IEC116" s="1"/>
      <c r="IED116" s="1"/>
      <c r="IEE116" s="1"/>
      <c r="IEF116" s="1"/>
      <c r="IEG116" s="1"/>
      <c r="IEH116" s="1"/>
      <c r="IEI116" s="1"/>
      <c r="IEJ116" s="1"/>
      <c r="IEK116" s="1"/>
      <c r="IEL116" s="1"/>
      <c r="IEM116" s="1"/>
      <c r="IEN116" s="1"/>
      <c r="IEO116" s="1"/>
      <c r="IEP116" s="1"/>
      <c r="IEQ116" s="1"/>
      <c r="IER116" s="1"/>
      <c r="IES116" s="1"/>
      <c r="IET116" s="1"/>
      <c r="IEU116" s="1"/>
      <c r="IEV116" s="1"/>
      <c r="IEW116" s="1"/>
      <c r="IEX116" s="1"/>
      <c r="IEY116" s="1"/>
      <c r="IEZ116" s="1"/>
      <c r="IFA116" s="1"/>
      <c r="IFB116" s="1"/>
      <c r="IFC116" s="1"/>
      <c r="IFD116" s="1"/>
      <c r="IFE116" s="1"/>
      <c r="IFF116" s="1"/>
      <c r="IFG116" s="1"/>
      <c r="IFH116" s="1"/>
      <c r="IFI116" s="1"/>
      <c r="IFJ116" s="1"/>
      <c r="IFK116" s="1"/>
      <c r="IFL116" s="1"/>
      <c r="IFM116" s="1"/>
      <c r="IFN116" s="1"/>
      <c r="IFO116" s="1"/>
      <c r="IFP116" s="1"/>
      <c r="IFQ116" s="1"/>
      <c r="IFR116" s="1"/>
      <c r="IFS116" s="1"/>
      <c r="IFT116" s="1"/>
      <c r="IFU116" s="1"/>
      <c r="IFV116" s="1"/>
      <c r="IFW116" s="1"/>
      <c r="IFX116" s="1"/>
      <c r="IFY116" s="1"/>
      <c r="IFZ116" s="1"/>
      <c r="IGA116" s="1"/>
      <c r="IGB116" s="1"/>
      <c r="IGC116" s="1"/>
      <c r="IGD116" s="1"/>
      <c r="IGE116" s="1"/>
      <c r="IGF116" s="1"/>
      <c r="IGG116" s="1"/>
      <c r="IGH116" s="1"/>
      <c r="IGI116" s="1"/>
      <c r="IGJ116" s="1"/>
      <c r="IGK116" s="1"/>
      <c r="IGL116" s="1"/>
      <c r="IGM116" s="1"/>
      <c r="IGN116" s="1"/>
      <c r="IGO116" s="1"/>
      <c r="IGP116" s="1"/>
      <c r="IGQ116" s="1"/>
      <c r="IGR116" s="1"/>
      <c r="IGS116" s="1"/>
      <c r="IGT116" s="1"/>
      <c r="IGU116" s="1"/>
      <c r="IGV116" s="1"/>
      <c r="IGW116" s="1"/>
      <c r="IGX116" s="1"/>
      <c r="IGY116" s="1"/>
      <c r="IGZ116" s="1"/>
      <c r="IHA116" s="1"/>
      <c r="IHB116" s="1"/>
      <c r="IHC116" s="1"/>
      <c r="IHD116" s="1"/>
      <c r="IHE116" s="1"/>
      <c r="IHF116" s="1"/>
      <c r="IHG116" s="1"/>
      <c r="IHH116" s="1"/>
      <c r="IHI116" s="1"/>
      <c r="IHJ116" s="1"/>
      <c r="IHK116" s="1"/>
      <c r="IHL116" s="1"/>
      <c r="IHM116" s="1"/>
      <c r="IHN116" s="1"/>
      <c r="IHO116" s="1"/>
      <c r="IHP116" s="1"/>
      <c r="IHQ116" s="1"/>
      <c r="IHR116" s="1"/>
      <c r="IHS116" s="1"/>
      <c r="IHT116" s="1"/>
      <c r="IHU116" s="1"/>
      <c r="IHV116" s="1"/>
      <c r="IHW116" s="1"/>
      <c r="IHX116" s="1"/>
      <c r="IHY116" s="1"/>
      <c r="IHZ116" s="1"/>
      <c r="IIA116" s="1"/>
      <c r="IIB116" s="1"/>
      <c r="IIC116" s="1"/>
      <c r="IID116" s="1"/>
      <c r="IIE116" s="1"/>
      <c r="IIF116" s="1"/>
      <c r="IIG116" s="1"/>
      <c r="IIH116" s="1"/>
      <c r="III116" s="1"/>
      <c r="IIJ116" s="1"/>
      <c r="IIK116" s="1"/>
      <c r="IIL116" s="1"/>
      <c r="IIM116" s="1"/>
      <c r="IIN116" s="1"/>
      <c r="IIO116" s="1"/>
      <c r="IIP116" s="1"/>
      <c r="IIQ116" s="1"/>
      <c r="IIR116" s="1"/>
      <c r="IIS116" s="1"/>
      <c r="IIT116" s="1"/>
      <c r="IIU116" s="1"/>
      <c r="IIV116" s="1"/>
      <c r="IIW116" s="1"/>
      <c r="IIX116" s="1"/>
      <c r="IIY116" s="1"/>
      <c r="IIZ116" s="1"/>
      <c r="IJA116" s="1"/>
      <c r="IJB116" s="1"/>
      <c r="IJC116" s="1"/>
      <c r="IJD116" s="1"/>
      <c r="IJE116" s="1"/>
      <c r="IJF116" s="1"/>
      <c r="IJG116" s="1"/>
      <c r="IJH116" s="1"/>
      <c r="IJI116" s="1"/>
      <c r="IJJ116" s="1"/>
      <c r="IJK116" s="1"/>
      <c r="IJL116" s="1"/>
      <c r="IJM116" s="1"/>
      <c r="IJN116" s="1"/>
      <c r="IJO116" s="1"/>
      <c r="IJP116" s="1"/>
      <c r="IJQ116" s="1"/>
      <c r="IJR116" s="1"/>
      <c r="IJS116" s="1"/>
      <c r="IJT116" s="1"/>
      <c r="IJU116" s="1"/>
      <c r="IJV116" s="1"/>
      <c r="IJW116" s="1"/>
      <c r="IJX116" s="1"/>
      <c r="IJY116" s="1"/>
      <c r="IJZ116" s="1"/>
      <c r="IKA116" s="1"/>
      <c r="IKB116" s="1"/>
      <c r="IKC116" s="1"/>
      <c r="IKD116" s="1"/>
      <c r="IKE116" s="1"/>
      <c r="IKF116" s="1"/>
      <c r="IKG116" s="1"/>
      <c r="IKH116" s="1"/>
      <c r="IKI116" s="1"/>
      <c r="IKJ116" s="1"/>
      <c r="IKK116" s="1"/>
      <c r="IKL116" s="1"/>
      <c r="IKM116" s="1"/>
      <c r="IKN116" s="1"/>
      <c r="IKO116" s="1"/>
      <c r="IKP116" s="1"/>
      <c r="IKQ116" s="1"/>
      <c r="IKR116" s="1"/>
      <c r="IKS116" s="1"/>
      <c r="IKT116" s="1"/>
      <c r="IKU116" s="1"/>
      <c r="IKV116" s="1"/>
      <c r="IKW116" s="1"/>
      <c r="IKX116" s="1"/>
      <c r="IKY116" s="1"/>
      <c r="IKZ116" s="1"/>
      <c r="ILA116" s="1"/>
      <c r="ILB116" s="1"/>
      <c r="ILC116" s="1"/>
      <c r="ILD116" s="1"/>
      <c r="ILE116" s="1"/>
      <c r="ILF116" s="1"/>
      <c r="ILG116" s="1"/>
      <c r="ILH116" s="1"/>
      <c r="ILI116" s="1"/>
      <c r="ILJ116" s="1"/>
      <c r="ILK116" s="1"/>
      <c r="ILL116" s="1"/>
      <c r="ILM116" s="1"/>
      <c r="ILN116" s="1"/>
      <c r="ILO116" s="1"/>
      <c r="ILP116" s="1"/>
      <c r="ILQ116" s="1"/>
      <c r="ILR116" s="1"/>
      <c r="ILS116" s="1"/>
      <c r="ILT116" s="1"/>
      <c r="ILU116" s="1"/>
      <c r="ILV116" s="1"/>
      <c r="ILW116" s="1"/>
      <c r="ILX116" s="1"/>
      <c r="ILY116" s="1"/>
      <c r="ILZ116" s="1"/>
      <c r="IMA116" s="1"/>
      <c r="IMB116" s="1"/>
      <c r="IMC116" s="1"/>
      <c r="IMD116" s="1"/>
      <c r="IME116" s="1"/>
      <c r="IMF116" s="1"/>
      <c r="IMG116" s="1"/>
      <c r="IMH116" s="1"/>
      <c r="IMI116" s="1"/>
      <c r="IMJ116" s="1"/>
      <c r="IMK116" s="1"/>
      <c r="IML116" s="1"/>
      <c r="IMM116" s="1"/>
      <c r="IMN116" s="1"/>
      <c r="IMO116" s="1"/>
      <c r="IMP116" s="1"/>
      <c r="IMQ116" s="1"/>
      <c r="IMR116" s="1"/>
      <c r="IMS116" s="1"/>
      <c r="IMT116" s="1"/>
      <c r="IMU116" s="1"/>
      <c r="IMV116" s="1"/>
      <c r="IMW116" s="1"/>
      <c r="IMX116" s="1"/>
      <c r="IMY116" s="1"/>
      <c r="IMZ116" s="1"/>
      <c r="INA116" s="1"/>
      <c r="INB116" s="1"/>
      <c r="INC116" s="1"/>
      <c r="IND116" s="1"/>
      <c r="INE116" s="1"/>
      <c r="INF116" s="1"/>
      <c r="ING116" s="1"/>
      <c r="INH116" s="1"/>
      <c r="INI116" s="1"/>
      <c r="INJ116" s="1"/>
      <c r="INK116" s="1"/>
      <c r="INL116" s="1"/>
      <c r="INM116" s="1"/>
      <c r="INN116" s="1"/>
      <c r="INO116" s="1"/>
      <c r="INP116" s="1"/>
      <c r="INQ116" s="1"/>
      <c r="INR116" s="1"/>
      <c r="INS116" s="1"/>
      <c r="INT116" s="1"/>
      <c r="INU116" s="1"/>
      <c r="INV116" s="1"/>
      <c r="INW116" s="1"/>
      <c r="INX116" s="1"/>
      <c r="INY116" s="1"/>
      <c r="INZ116" s="1"/>
      <c r="IOA116" s="1"/>
      <c r="IOB116" s="1"/>
      <c r="IOC116" s="1"/>
      <c r="IOD116" s="1"/>
      <c r="IOE116" s="1"/>
      <c r="IOF116" s="1"/>
      <c r="IOG116" s="1"/>
      <c r="IOH116" s="1"/>
      <c r="IOI116" s="1"/>
      <c r="IOJ116" s="1"/>
      <c r="IOK116" s="1"/>
      <c r="IOL116" s="1"/>
      <c r="IOM116" s="1"/>
      <c r="ION116" s="1"/>
      <c r="IOO116" s="1"/>
      <c r="IOP116" s="1"/>
      <c r="IOQ116" s="1"/>
      <c r="IOR116" s="1"/>
      <c r="IOS116" s="1"/>
      <c r="IOT116" s="1"/>
      <c r="IOU116" s="1"/>
      <c r="IOV116" s="1"/>
      <c r="IOW116" s="1"/>
      <c r="IOX116" s="1"/>
      <c r="IOY116" s="1"/>
      <c r="IOZ116" s="1"/>
      <c r="IPA116" s="1"/>
      <c r="IPB116" s="1"/>
      <c r="IPC116" s="1"/>
      <c r="IPD116" s="1"/>
      <c r="IPE116" s="1"/>
      <c r="IPF116" s="1"/>
      <c r="IPG116" s="1"/>
      <c r="IPH116" s="1"/>
      <c r="IPI116" s="1"/>
      <c r="IPJ116" s="1"/>
      <c r="IPK116" s="1"/>
      <c r="IPL116" s="1"/>
      <c r="IPM116" s="1"/>
      <c r="IPN116" s="1"/>
      <c r="IPO116" s="1"/>
      <c r="IPP116" s="1"/>
      <c r="IPQ116" s="1"/>
      <c r="IPR116" s="1"/>
      <c r="IPS116" s="1"/>
      <c r="IPT116" s="1"/>
      <c r="IPU116" s="1"/>
      <c r="IPV116" s="1"/>
      <c r="IPW116" s="1"/>
      <c r="IPX116" s="1"/>
      <c r="IPY116" s="1"/>
      <c r="IPZ116" s="1"/>
      <c r="IQA116" s="1"/>
      <c r="IQB116" s="1"/>
      <c r="IQC116" s="1"/>
      <c r="IQD116" s="1"/>
      <c r="IQE116" s="1"/>
      <c r="IQF116" s="1"/>
      <c r="IQG116" s="1"/>
      <c r="IQH116" s="1"/>
      <c r="IQI116" s="1"/>
      <c r="IQJ116" s="1"/>
      <c r="IQK116" s="1"/>
      <c r="IQL116" s="1"/>
      <c r="IQM116" s="1"/>
      <c r="IQN116" s="1"/>
      <c r="IQO116" s="1"/>
      <c r="IQP116" s="1"/>
      <c r="IQQ116" s="1"/>
      <c r="IQR116" s="1"/>
      <c r="IQS116" s="1"/>
      <c r="IQT116" s="1"/>
      <c r="IQU116" s="1"/>
      <c r="IQV116" s="1"/>
      <c r="IQW116" s="1"/>
      <c r="IQX116" s="1"/>
      <c r="IQY116" s="1"/>
      <c r="IQZ116" s="1"/>
      <c r="IRA116" s="1"/>
      <c r="IRB116" s="1"/>
      <c r="IRC116" s="1"/>
      <c r="IRD116" s="1"/>
      <c r="IRE116" s="1"/>
      <c r="IRF116" s="1"/>
      <c r="IRG116" s="1"/>
      <c r="IRH116" s="1"/>
      <c r="IRI116" s="1"/>
      <c r="IRJ116" s="1"/>
      <c r="IRK116" s="1"/>
      <c r="IRL116" s="1"/>
      <c r="IRM116" s="1"/>
      <c r="IRN116" s="1"/>
      <c r="IRO116" s="1"/>
      <c r="IRP116" s="1"/>
      <c r="IRQ116" s="1"/>
      <c r="IRR116" s="1"/>
      <c r="IRS116" s="1"/>
      <c r="IRT116" s="1"/>
      <c r="IRU116" s="1"/>
      <c r="IRV116" s="1"/>
      <c r="IRW116" s="1"/>
      <c r="IRX116" s="1"/>
      <c r="IRY116" s="1"/>
      <c r="IRZ116" s="1"/>
      <c r="ISA116" s="1"/>
      <c r="ISB116" s="1"/>
      <c r="ISC116" s="1"/>
      <c r="ISD116" s="1"/>
      <c r="ISE116" s="1"/>
      <c r="ISF116" s="1"/>
      <c r="ISG116" s="1"/>
      <c r="ISH116" s="1"/>
      <c r="ISI116" s="1"/>
      <c r="ISJ116" s="1"/>
      <c r="ISK116" s="1"/>
      <c r="ISL116" s="1"/>
      <c r="ISM116" s="1"/>
      <c r="ISN116" s="1"/>
      <c r="ISO116" s="1"/>
      <c r="ISP116" s="1"/>
      <c r="ISQ116" s="1"/>
      <c r="ISR116" s="1"/>
      <c r="ISS116" s="1"/>
      <c r="IST116" s="1"/>
      <c r="ISU116" s="1"/>
      <c r="ISV116" s="1"/>
      <c r="ISW116" s="1"/>
      <c r="ISX116" s="1"/>
      <c r="ISY116" s="1"/>
      <c r="ISZ116" s="1"/>
      <c r="ITA116" s="1"/>
      <c r="ITB116" s="1"/>
      <c r="ITC116" s="1"/>
      <c r="ITD116" s="1"/>
      <c r="ITE116" s="1"/>
      <c r="ITF116" s="1"/>
      <c r="ITG116" s="1"/>
      <c r="ITH116" s="1"/>
      <c r="ITI116" s="1"/>
      <c r="ITJ116" s="1"/>
      <c r="ITK116" s="1"/>
      <c r="ITL116" s="1"/>
      <c r="ITM116" s="1"/>
      <c r="ITN116" s="1"/>
      <c r="ITO116" s="1"/>
      <c r="ITP116" s="1"/>
      <c r="ITQ116" s="1"/>
      <c r="ITR116" s="1"/>
      <c r="ITS116" s="1"/>
      <c r="ITT116" s="1"/>
      <c r="ITU116" s="1"/>
      <c r="ITV116" s="1"/>
      <c r="ITW116" s="1"/>
      <c r="ITX116" s="1"/>
      <c r="ITY116" s="1"/>
      <c r="ITZ116" s="1"/>
      <c r="IUA116" s="1"/>
      <c r="IUB116" s="1"/>
      <c r="IUC116" s="1"/>
      <c r="IUD116" s="1"/>
      <c r="IUE116" s="1"/>
      <c r="IUF116" s="1"/>
      <c r="IUG116" s="1"/>
      <c r="IUH116" s="1"/>
      <c r="IUI116" s="1"/>
      <c r="IUJ116" s="1"/>
      <c r="IUK116" s="1"/>
      <c r="IUL116" s="1"/>
      <c r="IUM116" s="1"/>
      <c r="IUN116" s="1"/>
      <c r="IUO116" s="1"/>
      <c r="IUP116" s="1"/>
      <c r="IUQ116" s="1"/>
      <c r="IUR116" s="1"/>
      <c r="IUS116" s="1"/>
      <c r="IUT116" s="1"/>
      <c r="IUU116" s="1"/>
      <c r="IUV116" s="1"/>
      <c r="IUW116" s="1"/>
      <c r="IUX116" s="1"/>
      <c r="IUY116" s="1"/>
      <c r="IUZ116" s="1"/>
      <c r="IVA116" s="1"/>
      <c r="IVB116" s="1"/>
      <c r="IVC116" s="1"/>
      <c r="IVD116" s="1"/>
      <c r="IVE116" s="1"/>
      <c r="IVF116" s="1"/>
      <c r="IVG116" s="1"/>
      <c r="IVH116" s="1"/>
      <c r="IVI116" s="1"/>
      <c r="IVJ116" s="1"/>
      <c r="IVK116" s="1"/>
      <c r="IVL116" s="1"/>
      <c r="IVM116" s="1"/>
      <c r="IVN116" s="1"/>
      <c r="IVO116" s="1"/>
      <c r="IVP116" s="1"/>
      <c r="IVQ116" s="1"/>
      <c r="IVR116" s="1"/>
      <c r="IVS116" s="1"/>
      <c r="IVT116" s="1"/>
      <c r="IVU116" s="1"/>
      <c r="IVV116" s="1"/>
      <c r="IVW116" s="1"/>
      <c r="IVX116" s="1"/>
      <c r="IVY116" s="1"/>
      <c r="IVZ116" s="1"/>
      <c r="IWA116" s="1"/>
      <c r="IWB116" s="1"/>
      <c r="IWC116" s="1"/>
      <c r="IWD116" s="1"/>
      <c r="IWE116" s="1"/>
      <c r="IWF116" s="1"/>
      <c r="IWG116" s="1"/>
      <c r="IWH116" s="1"/>
      <c r="IWI116" s="1"/>
      <c r="IWJ116" s="1"/>
      <c r="IWK116" s="1"/>
      <c r="IWL116" s="1"/>
      <c r="IWM116" s="1"/>
      <c r="IWN116" s="1"/>
      <c r="IWO116" s="1"/>
      <c r="IWP116" s="1"/>
      <c r="IWQ116" s="1"/>
      <c r="IWR116" s="1"/>
      <c r="IWS116" s="1"/>
      <c r="IWT116" s="1"/>
      <c r="IWU116" s="1"/>
      <c r="IWV116" s="1"/>
      <c r="IWW116" s="1"/>
      <c r="IWX116" s="1"/>
      <c r="IWY116" s="1"/>
      <c r="IWZ116" s="1"/>
      <c r="IXA116" s="1"/>
      <c r="IXB116" s="1"/>
      <c r="IXC116" s="1"/>
      <c r="IXD116" s="1"/>
      <c r="IXE116" s="1"/>
      <c r="IXF116" s="1"/>
      <c r="IXG116" s="1"/>
      <c r="IXH116" s="1"/>
      <c r="IXI116" s="1"/>
      <c r="IXJ116" s="1"/>
      <c r="IXK116" s="1"/>
      <c r="IXL116" s="1"/>
      <c r="IXM116" s="1"/>
      <c r="IXN116" s="1"/>
      <c r="IXO116" s="1"/>
      <c r="IXP116" s="1"/>
      <c r="IXQ116" s="1"/>
      <c r="IXR116" s="1"/>
      <c r="IXS116" s="1"/>
      <c r="IXT116" s="1"/>
      <c r="IXU116" s="1"/>
      <c r="IXV116" s="1"/>
      <c r="IXW116" s="1"/>
      <c r="IXX116" s="1"/>
      <c r="IXY116" s="1"/>
      <c r="IXZ116" s="1"/>
      <c r="IYA116" s="1"/>
      <c r="IYB116" s="1"/>
      <c r="IYC116" s="1"/>
      <c r="IYD116" s="1"/>
      <c r="IYE116" s="1"/>
      <c r="IYF116" s="1"/>
      <c r="IYG116" s="1"/>
      <c r="IYH116" s="1"/>
      <c r="IYI116" s="1"/>
      <c r="IYJ116" s="1"/>
      <c r="IYK116" s="1"/>
      <c r="IYL116" s="1"/>
      <c r="IYM116" s="1"/>
      <c r="IYN116" s="1"/>
      <c r="IYO116" s="1"/>
      <c r="IYP116" s="1"/>
      <c r="IYQ116" s="1"/>
      <c r="IYR116" s="1"/>
      <c r="IYS116" s="1"/>
      <c r="IYT116" s="1"/>
      <c r="IYU116" s="1"/>
      <c r="IYV116" s="1"/>
      <c r="IYW116" s="1"/>
      <c r="IYX116" s="1"/>
      <c r="IYY116" s="1"/>
      <c r="IYZ116" s="1"/>
      <c r="IZA116" s="1"/>
      <c r="IZB116" s="1"/>
      <c r="IZC116" s="1"/>
      <c r="IZD116" s="1"/>
      <c r="IZE116" s="1"/>
      <c r="IZF116" s="1"/>
      <c r="IZG116" s="1"/>
      <c r="IZH116" s="1"/>
      <c r="IZI116" s="1"/>
      <c r="IZJ116" s="1"/>
      <c r="IZK116" s="1"/>
      <c r="IZL116" s="1"/>
      <c r="IZM116" s="1"/>
      <c r="IZN116" s="1"/>
      <c r="IZO116" s="1"/>
      <c r="IZP116" s="1"/>
      <c r="IZQ116" s="1"/>
      <c r="IZR116" s="1"/>
      <c r="IZS116" s="1"/>
      <c r="IZT116" s="1"/>
      <c r="IZU116" s="1"/>
      <c r="IZV116" s="1"/>
      <c r="IZW116" s="1"/>
      <c r="IZX116" s="1"/>
      <c r="IZY116" s="1"/>
      <c r="IZZ116" s="1"/>
      <c r="JAA116" s="1"/>
      <c r="JAB116" s="1"/>
      <c r="JAC116" s="1"/>
      <c r="JAD116" s="1"/>
      <c r="JAE116" s="1"/>
      <c r="JAF116" s="1"/>
      <c r="JAG116" s="1"/>
      <c r="JAH116" s="1"/>
      <c r="JAI116" s="1"/>
      <c r="JAJ116" s="1"/>
      <c r="JAK116" s="1"/>
      <c r="JAL116" s="1"/>
      <c r="JAM116" s="1"/>
      <c r="JAN116" s="1"/>
      <c r="JAO116" s="1"/>
      <c r="JAP116" s="1"/>
      <c r="JAQ116" s="1"/>
      <c r="JAR116" s="1"/>
      <c r="JAS116" s="1"/>
      <c r="JAT116" s="1"/>
      <c r="JAU116" s="1"/>
      <c r="JAV116" s="1"/>
      <c r="JAW116" s="1"/>
      <c r="JAX116" s="1"/>
      <c r="JAY116" s="1"/>
      <c r="JAZ116" s="1"/>
      <c r="JBA116" s="1"/>
      <c r="JBB116" s="1"/>
      <c r="JBC116" s="1"/>
      <c r="JBD116" s="1"/>
      <c r="JBE116" s="1"/>
      <c r="JBF116" s="1"/>
      <c r="JBG116" s="1"/>
      <c r="JBH116" s="1"/>
      <c r="JBI116" s="1"/>
      <c r="JBJ116" s="1"/>
      <c r="JBK116" s="1"/>
      <c r="JBL116" s="1"/>
      <c r="JBM116" s="1"/>
      <c r="JBN116" s="1"/>
      <c r="JBO116" s="1"/>
      <c r="JBP116" s="1"/>
      <c r="JBQ116" s="1"/>
      <c r="JBR116" s="1"/>
      <c r="JBS116" s="1"/>
      <c r="JBT116" s="1"/>
      <c r="JBU116" s="1"/>
      <c r="JBV116" s="1"/>
      <c r="JBW116" s="1"/>
      <c r="JBX116" s="1"/>
      <c r="JBY116" s="1"/>
      <c r="JBZ116" s="1"/>
      <c r="JCA116" s="1"/>
      <c r="JCB116" s="1"/>
      <c r="JCC116" s="1"/>
      <c r="JCD116" s="1"/>
      <c r="JCE116" s="1"/>
      <c r="JCF116" s="1"/>
      <c r="JCG116" s="1"/>
      <c r="JCH116" s="1"/>
      <c r="JCI116" s="1"/>
      <c r="JCJ116" s="1"/>
      <c r="JCK116" s="1"/>
      <c r="JCL116" s="1"/>
      <c r="JCM116" s="1"/>
      <c r="JCN116" s="1"/>
      <c r="JCO116" s="1"/>
      <c r="JCP116" s="1"/>
      <c r="JCQ116" s="1"/>
      <c r="JCR116" s="1"/>
      <c r="JCS116" s="1"/>
      <c r="JCT116" s="1"/>
      <c r="JCU116" s="1"/>
      <c r="JCV116" s="1"/>
      <c r="JCW116" s="1"/>
      <c r="JCX116" s="1"/>
      <c r="JCY116" s="1"/>
      <c r="JCZ116" s="1"/>
      <c r="JDA116" s="1"/>
      <c r="JDB116" s="1"/>
      <c r="JDC116" s="1"/>
      <c r="JDD116" s="1"/>
      <c r="JDE116" s="1"/>
      <c r="JDF116" s="1"/>
      <c r="JDG116" s="1"/>
      <c r="JDH116" s="1"/>
      <c r="JDI116" s="1"/>
      <c r="JDJ116" s="1"/>
      <c r="JDK116" s="1"/>
      <c r="JDL116" s="1"/>
      <c r="JDM116" s="1"/>
      <c r="JDN116" s="1"/>
      <c r="JDO116" s="1"/>
      <c r="JDP116" s="1"/>
      <c r="JDQ116" s="1"/>
      <c r="JDR116" s="1"/>
      <c r="JDS116" s="1"/>
      <c r="JDT116" s="1"/>
      <c r="JDU116" s="1"/>
      <c r="JDV116" s="1"/>
      <c r="JDW116" s="1"/>
      <c r="JDX116" s="1"/>
      <c r="JDY116" s="1"/>
      <c r="JDZ116" s="1"/>
      <c r="JEA116" s="1"/>
      <c r="JEB116" s="1"/>
      <c r="JEC116" s="1"/>
      <c r="JED116" s="1"/>
      <c r="JEE116" s="1"/>
      <c r="JEF116" s="1"/>
      <c r="JEG116" s="1"/>
      <c r="JEH116" s="1"/>
      <c r="JEI116" s="1"/>
      <c r="JEJ116" s="1"/>
      <c r="JEK116" s="1"/>
      <c r="JEL116" s="1"/>
      <c r="JEM116" s="1"/>
      <c r="JEN116" s="1"/>
      <c r="JEO116" s="1"/>
      <c r="JEP116" s="1"/>
      <c r="JEQ116" s="1"/>
      <c r="JER116" s="1"/>
      <c r="JES116" s="1"/>
      <c r="JET116" s="1"/>
      <c r="JEU116" s="1"/>
      <c r="JEV116" s="1"/>
      <c r="JEW116" s="1"/>
      <c r="JEX116" s="1"/>
      <c r="JEY116" s="1"/>
      <c r="JEZ116" s="1"/>
      <c r="JFA116" s="1"/>
      <c r="JFB116" s="1"/>
      <c r="JFC116" s="1"/>
      <c r="JFD116" s="1"/>
      <c r="JFE116" s="1"/>
      <c r="JFF116" s="1"/>
      <c r="JFG116" s="1"/>
      <c r="JFH116" s="1"/>
      <c r="JFI116" s="1"/>
      <c r="JFJ116" s="1"/>
      <c r="JFK116" s="1"/>
      <c r="JFL116" s="1"/>
      <c r="JFM116" s="1"/>
      <c r="JFN116" s="1"/>
      <c r="JFO116" s="1"/>
      <c r="JFP116" s="1"/>
      <c r="JFQ116" s="1"/>
      <c r="JFR116" s="1"/>
      <c r="JFS116" s="1"/>
      <c r="JFT116" s="1"/>
      <c r="JFU116" s="1"/>
      <c r="JFV116" s="1"/>
      <c r="JFW116" s="1"/>
      <c r="JFX116" s="1"/>
      <c r="JFY116" s="1"/>
      <c r="JFZ116" s="1"/>
      <c r="JGA116" s="1"/>
      <c r="JGB116" s="1"/>
      <c r="JGC116" s="1"/>
      <c r="JGD116" s="1"/>
      <c r="JGE116" s="1"/>
      <c r="JGF116" s="1"/>
      <c r="JGG116" s="1"/>
      <c r="JGH116" s="1"/>
      <c r="JGI116" s="1"/>
      <c r="JGJ116" s="1"/>
      <c r="JGK116" s="1"/>
      <c r="JGL116" s="1"/>
      <c r="JGM116" s="1"/>
      <c r="JGN116" s="1"/>
      <c r="JGO116" s="1"/>
      <c r="JGP116" s="1"/>
      <c r="JGQ116" s="1"/>
      <c r="JGR116" s="1"/>
      <c r="JGS116" s="1"/>
      <c r="JGT116" s="1"/>
      <c r="JGU116" s="1"/>
      <c r="JGV116" s="1"/>
      <c r="JGW116" s="1"/>
      <c r="JGX116" s="1"/>
      <c r="JGY116" s="1"/>
      <c r="JGZ116" s="1"/>
      <c r="JHA116" s="1"/>
      <c r="JHB116" s="1"/>
      <c r="JHC116" s="1"/>
      <c r="JHD116" s="1"/>
      <c r="JHE116" s="1"/>
      <c r="JHF116" s="1"/>
      <c r="JHG116" s="1"/>
      <c r="JHH116" s="1"/>
      <c r="JHI116" s="1"/>
      <c r="JHJ116" s="1"/>
      <c r="JHK116" s="1"/>
      <c r="JHL116" s="1"/>
      <c r="JHM116" s="1"/>
      <c r="JHN116" s="1"/>
      <c r="JHO116" s="1"/>
      <c r="JHP116" s="1"/>
      <c r="JHQ116" s="1"/>
      <c r="JHR116" s="1"/>
      <c r="JHS116" s="1"/>
      <c r="JHT116" s="1"/>
      <c r="JHU116" s="1"/>
      <c r="JHV116" s="1"/>
      <c r="JHW116" s="1"/>
      <c r="JHX116" s="1"/>
      <c r="JHY116" s="1"/>
      <c r="JHZ116" s="1"/>
      <c r="JIA116" s="1"/>
      <c r="JIB116" s="1"/>
      <c r="JIC116" s="1"/>
      <c r="JID116" s="1"/>
      <c r="JIE116" s="1"/>
      <c r="JIF116" s="1"/>
      <c r="JIG116" s="1"/>
      <c r="JIH116" s="1"/>
      <c r="JII116" s="1"/>
      <c r="JIJ116" s="1"/>
      <c r="JIK116" s="1"/>
      <c r="JIL116" s="1"/>
      <c r="JIM116" s="1"/>
      <c r="JIN116" s="1"/>
      <c r="JIO116" s="1"/>
      <c r="JIP116" s="1"/>
      <c r="JIQ116" s="1"/>
      <c r="JIR116" s="1"/>
      <c r="JIS116" s="1"/>
      <c r="JIT116" s="1"/>
      <c r="JIU116" s="1"/>
      <c r="JIV116" s="1"/>
      <c r="JIW116" s="1"/>
      <c r="JIX116" s="1"/>
      <c r="JIY116" s="1"/>
      <c r="JIZ116" s="1"/>
      <c r="JJA116" s="1"/>
      <c r="JJB116" s="1"/>
      <c r="JJC116" s="1"/>
      <c r="JJD116" s="1"/>
      <c r="JJE116" s="1"/>
      <c r="JJF116" s="1"/>
      <c r="JJG116" s="1"/>
      <c r="JJH116" s="1"/>
      <c r="JJI116" s="1"/>
      <c r="JJJ116" s="1"/>
      <c r="JJK116" s="1"/>
      <c r="JJL116" s="1"/>
      <c r="JJM116" s="1"/>
      <c r="JJN116" s="1"/>
      <c r="JJO116" s="1"/>
      <c r="JJP116" s="1"/>
      <c r="JJQ116" s="1"/>
      <c r="JJR116" s="1"/>
      <c r="JJS116" s="1"/>
      <c r="JJT116" s="1"/>
      <c r="JJU116" s="1"/>
      <c r="JJV116" s="1"/>
      <c r="JJW116" s="1"/>
      <c r="JJX116" s="1"/>
      <c r="JJY116" s="1"/>
      <c r="JJZ116" s="1"/>
      <c r="JKA116" s="1"/>
      <c r="JKB116" s="1"/>
      <c r="JKC116" s="1"/>
      <c r="JKD116" s="1"/>
      <c r="JKE116" s="1"/>
      <c r="JKF116" s="1"/>
      <c r="JKG116" s="1"/>
      <c r="JKH116" s="1"/>
      <c r="JKI116" s="1"/>
      <c r="JKJ116" s="1"/>
      <c r="JKK116" s="1"/>
      <c r="JKL116" s="1"/>
      <c r="JKM116" s="1"/>
      <c r="JKN116" s="1"/>
      <c r="JKO116" s="1"/>
      <c r="JKP116" s="1"/>
      <c r="JKQ116" s="1"/>
      <c r="JKR116" s="1"/>
      <c r="JKS116" s="1"/>
      <c r="JKT116" s="1"/>
      <c r="JKU116" s="1"/>
      <c r="JKV116" s="1"/>
      <c r="JKW116" s="1"/>
      <c r="JKX116" s="1"/>
      <c r="JKY116" s="1"/>
      <c r="JKZ116" s="1"/>
      <c r="JLA116" s="1"/>
      <c r="JLB116" s="1"/>
      <c r="JLC116" s="1"/>
      <c r="JLD116" s="1"/>
      <c r="JLE116" s="1"/>
      <c r="JLF116" s="1"/>
      <c r="JLG116" s="1"/>
      <c r="JLH116" s="1"/>
      <c r="JLI116" s="1"/>
      <c r="JLJ116" s="1"/>
      <c r="JLK116" s="1"/>
      <c r="JLL116" s="1"/>
      <c r="JLM116" s="1"/>
      <c r="JLN116" s="1"/>
      <c r="JLO116" s="1"/>
      <c r="JLP116" s="1"/>
      <c r="JLQ116" s="1"/>
      <c r="JLR116" s="1"/>
      <c r="JLS116" s="1"/>
      <c r="JLT116" s="1"/>
      <c r="JLU116" s="1"/>
      <c r="JLV116" s="1"/>
      <c r="JLW116" s="1"/>
      <c r="JLX116" s="1"/>
      <c r="JLY116" s="1"/>
      <c r="JLZ116" s="1"/>
      <c r="JMA116" s="1"/>
      <c r="JMB116" s="1"/>
      <c r="JMC116" s="1"/>
      <c r="JMD116" s="1"/>
      <c r="JME116" s="1"/>
      <c r="JMF116" s="1"/>
      <c r="JMG116" s="1"/>
      <c r="JMH116" s="1"/>
      <c r="JMI116" s="1"/>
      <c r="JMJ116" s="1"/>
      <c r="JMK116" s="1"/>
      <c r="JML116" s="1"/>
      <c r="JMM116" s="1"/>
      <c r="JMN116" s="1"/>
      <c r="JMO116" s="1"/>
      <c r="JMP116" s="1"/>
      <c r="JMQ116" s="1"/>
      <c r="JMR116" s="1"/>
      <c r="JMS116" s="1"/>
      <c r="JMT116" s="1"/>
      <c r="JMU116" s="1"/>
      <c r="JMV116" s="1"/>
      <c r="JMW116" s="1"/>
      <c r="JMX116" s="1"/>
      <c r="JMY116" s="1"/>
      <c r="JMZ116" s="1"/>
      <c r="JNA116" s="1"/>
      <c r="JNB116" s="1"/>
      <c r="JNC116" s="1"/>
      <c r="JND116" s="1"/>
      <c r="JNE116" s="1"/>
      <c r="JNF116" s="1"/>
      <c r="JNG116" s="1"/>
      <c r="JNH116" s="1"/>
      <c r="JNI116" s="1"/>
      <c r="JNJ116" s="1"/>
      <c r="JNK116" s="1"/>
      <c r="JNL116" s="1"/>
      <c r="JNM116" s="1"/>
      <c r="JNN116" s="1"/>
      <c r="JNO116" s="1"/>
      <c r="JNP116" s="1"/>
      <c r="JNQ116" s="1"/>
      <c r="JNR116" s="1"/>
      <c r="JNS116" s="1"/>
      <c r="JNT116" s="1"/>
      <c r="JNU116" s="1"/>
      <c r="JNV116" s="1"/>
      <c r="JNW116" s="1"/>
      <c r="JNX116" s="1"/>
      <c r="JNY116" s="1"/>
      <c r="JNZ116" s="1"/>
      <c r="JOA116" s="1"/>
      <c r="JOB116" s="1"/>
      <c r="JOC116" s="1"/>
      <c r="JOD116" s="1"/>
      <c r="JOE116" s="1"/>
      <c r="JOF116" s="1"/>
      <c r="JOG116" s="1"/>
      <c r="JOH116" s="1"/>
      <c r="JOI116" s="1"/>
      <c r="JOJ116" s="1"/>
      <c r="JOK116" s="1"/>
      <c r="JOL116" s="1"/>
      <c r="JOM116" s="1"/>
      <c r="JON116" s="1"/>
      <c r="JOO116" s="1"/>
      <c r="JOP116" s="1"/>
      <c r="JOQ116" s="1"/>
      <c r="JOR116" s="1"/>
      <c r="JOS116" s="1"/>
      <c r="JOT116" s="1"/>
      <c r="JOU116" s="1"/>
      <c r="JOV116" s="1"/>
      <c r="JOW116" s="1"/>
      <c r="JOX116" s="1"/>
      <c r="JOY116" s="1"/>
      <c r="JOZ116" s="1"/>
      <c r="JPA116" s="1"/>
      <c r="JPB116" s="1"/>
      <c r="JPC116" s="1"/>
      <c r="JPD116" s="1"/>
      <c r="JPE116" s="1"/>
      <c r="JPF116" s="1"/>
      <c r="JPG116" s="1"/>
      <c r="JPH116" s="1"/>
      <c r="JPI116" s="1"/>
      <c r="JPJ116" s="1"/>
      <c r="JPK116" s="1"/>
      <c r="JPL116" s="1"/>
      <c r="JPM116" s="1"/>
      <c r="JPN116" s="1"/>
      <c r="JPO116" s="1"/>
      <c r="JPP116" s="1"/>
      <c r="JPQ116" s="1"/>
      <c r="JPR116" s="1"/>
      <c r="JPS116" s="1"/>
      <c r="JPT116" s="1"/>
      <c r="JPU116" s="1"/>
      <c r="JPV116" s="1"/>
      <c r="JPW116" s="1"/>
      <c r="JPX116" s="1"/>
      <c r="JPY116" s="1"/>
      <c r="JPZ116" s="1"/>
      <c r="JQA116" s="1"/>
      <c r="JQB116" s="1"/>
      <c r="JQC116" s="1"/>
      <c r="JQD116" s="1"/>
      <c r="JQE116" s="1"/>
      <c r="JQF116" s="1"/>
      <c r="JQG116" s="1"/>
      <c r="JQH116" s="1"/>
      <c r="JQI116" s="1"/>
      <c r="JQJ116" s="1"/>
      <c r="JQK116" s="1"/>
      <c r="JQL116" s="1"/>
      <c r="JQM116" s="1"/>
      <c r="JQN116" s="1"/>
      <c r="JQO116" s="1"/>
      <c r="JQP116" s="1"/>
      <c r="JQQ116" s="1"/>
      <c r="JQR116" s="1"/>
      <c r="JQS116" s="1"/>
      <c r="JQT116" s="1"/>
      <c r="JQU116" s="1"/>
      <c r="JQV116" s="1"/>
      <c r="JQW116" s="1"/>
      <c r="JQX116" s="1"/>
      <c r="JQY116" s="1"/>
      <c r="JQZ116" s="1"/>
      <c r="JRA116" s="1"/>
      <c r="JRB116" s="1"/>
      <c r="JRC116" s="1"/>
      <c r="JRD116" s="1"/>
      <c r="JRE116" s="1"/>
      <c r="JRF116" s="1"/>
      <c r="JRG116" s="1"/>
      <c r="JRH116" s="1"/>
      <c r="JRI116" s="1"/>
      <c r="JRJ116" s="1"/>
      <c r="JRK116" s="1"/>
      <c r="JRL116" s="1"/>
      <c r="JRM116" s="1"/>
      <c r="JRN116" s="1"/>
      <c r="JRO116" s="1"/>
      <c r="JRP116" s="1"/>
      <c r="JRQ116" s="1"/>
      <c r="JRR116" s="1"/>
      <c r="JRS116" s="1"/>
      <c r="JRT116" s="1"/>
      <c r="JRU116" s="1"/>
      <c r="JRV116" s="1"/>
      <c r="JRW116" s="1"/>
      <c r="JRX116" s="1"/>
      <c r="JRY116" s="1"/>
      <c r="JRZ116" s="1"/>
      <c r="JSA116" s="1"/>
      <c r="JSB116" s="1"/>
      <c r="JSC116" s="1"/>
      <c r="JSD116" s="1"/>
      <c r="JSE116" s="1"/>
      <c r="JSF116" s="1"/>
      <c r="JSG116" s="1"/>
      <c r="JSH116" s="1"/>
      <c r="JSI116" s="1"/>
      <c r="JSJ116" s="1"/>
      <c r="JSK116" s="1"/>
      <c r="JSL116" s="1"/>
      <c r="JSM116" s="1"/>
      <c r="JSN116" s="1"/>
      <c r="JSO116" s="1"/>
      <c r="JSP116" s="1"/>
      <c r="JSQ116" s="1"/>
      <c r="JSR116" s="1"/>
      <c r="JSS116" s="1"/>
      <c r="JST116" s="1"/>
      <c r="JSU116" s="1"/>
      <c r="JSV116" s="1"/>
      <c r="JSW116" s="1"/>
      <c r="JSX116" s="1"/>
      <c r="JSY116" s="1"/>
      <c r="JSZ116" s="1"/>
      <c r="JTA116" s="1"/>
      <c r="JTB116" s="1"/>
      <c r="JTC116" s="1"/>
      <c r="JTD116" s="1"/>
      <c r="JTE116" s="1"/>
      <c r="JTF116" s="1"/>
      <c r="JTG116" s="1"/>
      <c r="JTH116" s="1"/>
      <c r="JTI116" s="1"/>
      <c r="JTJ116" s="1"/>
      <c r="JTK116" s="1"/>
      <c r="JTL116" s="1"/>
      <c r="JTM116" s="1"/>
      <c r="JTN116" s="1"/>
      <c r="JTO116" s="1"/>
      <c r="JTP116" s="1"/>
      <c r="JTQ116" s="1"/>
      <c r="JTR116" s="1"/>
      <c r="JTS116" s="1"/>
      <c r="JTT116" s="1"/>
      <c r="JTU116" s="1"/>
      <c r="JTV116" s="1"/>
      <c r="JTW116" s="1"/>
      <c r="JTX116" s="1"/>
      <c r="JTY116" s="1"/>
      <c r="JTZ116" s="1"/>
      <c r="JUA116" s="1"/>
      <c r="JUB116" s="1"/>
      <c r="JUC116" s="1"/>
      <c r="JUD116" s="1"/>
      <c r="JUE116" s="1"/>
      <c r="JUF116" s="1"/>
      <c r="JUG116" s="1"/>
      <c r="JUH116" s="1"/>
      <c r="JUI116" s="1"/>
      <c r="JUJ116" s="1"/>
      <c r="JUK116" s="1"/>
      <c r="JUL116" s="1"/>
      <c r="JUM116" s="1"/>
      <c r="JUN116" s="1"/>
      <c r="JUO116" s="1"/>
      <c r="JUP116" s="1"/>
      <c r="JUQ116" s="1"/>
      <c r="JUR116" s="1"/>
      <c r="JUS116" s="1"/>
      <c r="JUT116" s="1"/>
      <c r="JUU116" s="1"/>
      <c r="JUV116" s="1"/>
      <c r="JUW116" s="1"/>
      <c r="JUX116" s="1"/>
      <c r="JUY116" s="1"/>
      <c r="JUZ116" s="1"/>
      <c r="JVA116" s="1"/>
      <c r="JVB116" s="1"/>
      <c r="JVC116" s="1"/>
      <c r="JVD116" s="1"/>
      <c r="JVE116" s="1"/>
      <c r="JVF116" s="1"/>
      <c r="JVG116" s="1"/>
      <c r="JVH116" s="1"/>
      <c r="JVI116" s="1"/>
      <c r="JVJ116" s="1"/>
      <c r="JVK116" s="1"/>
      <c r="JVL116" s="1"/>
      <c r="JVM116" s="1"/>
      <c r="JVN116" s="1"/>
      <c r="JVO116" s="1"/>
      <c r="JVP116" s="1"/>
      <c r="JVQ116" s="1"/>
      <c r="JVR116" s="1"/>
      <c r="JVS116" s="1"/>
      <c r="JVT116" s="1"/>
      <c r="JVU116" s="1"/>
      <c r="JVV116" s="1"/>
      <c r="JVW116" s="1"/>
      <c r="JVX116" s="1"/>
      <c r="JVY116" s="1"/>
      <c r="JVZ116" s="1"/>
      <c r="JWA116" s="1"/>
      <c r="JWB116" s="1"/>
      <c r="JWC116" s="1"/>
      <c r="JWD116" s="1"/>
      <c r="JWE116" s="1"/>
      <c r="JWF116" s="1"/>
      <c r="JWG116" s="1"/>
      <c r="JWH116" s="1"/>
      <c r="JWI116" s="1"/>
      <c r="JWJ116" s="1"/>
      <c r="JWK116" s="1"/>
      <c r="JWL116" s="1"/>
      <c r="JWM116" s="1"/>
      <c r="JWN116" s="1"/>
      <c r="JWO116" s="1"/>
      <c r="JWP116" s="1"/>
      <c r="JWQ116" s="1"/>
      <c r="JWR116" s="1"/>
      <c r="JWS116" s="1"/>
      <c r="JWT116" s="1"/>
      <c r="JWU116" s="1"/>
      <c r="JWV116" s="1"/>
      <c r="JWW116" s="1"/>
      <c r="JWX116" s="1"/>
      <c r="JWY116" s="1"/>
      <c r="JWZ116" s="1"/>
      <c r="JXA116" s="1"/>
      <c r="JXB116" s="1"/>
      <c r="JXC116" s="1"/>
      <c r="JXD116" s="1"/>
      <c r="JXE116" s="1"/>
      <c r="JXF116" s="1"/>
      <c r="JXG116" s="1"/>
      <c r="JXH116" s="1"/>
      <c r="JXI116" s="1"/>
      <c r="JXJ116" s="1"/>
      <c r="JXK116" s="1"/>
      <c r="JXL116" s="1"/>
      <c r="JXM116" s="1"/>
      <c r="JXN116" s="1"/>
      <c r="JXO116" s="1"/>
      <c r="JXP116" s="1"/>
      <c r="JXQ116" s="1"/>
      <c r="JXR116" s="1"/>
      <c r="JXS116" s="1"/>
      <c r="JXT116" s="1"/>
      <c r="JXU116" s="1"/>
      <c r="JXV116" s="1"/>
      <c r="JXW116" s="1"/>
      <c r="JXX116" s="1"/>
      <c r="JXY116" s="1"/>
      <c r="JXZ116" s="1"/>
      <c r="JYA116" s="1"/>
      <c r="JYB116" s="1"/>
      <c r="JYC116" s="1"/>
      <c r="JYD116" s="1"/>
      <c r="JYE116" s="1"/>
      <c r="JYF116" s="1"/>
      <c r="JYG116" s="1"/>
      <c r="JYH116" s="1"/>
      <c r="JYI116" s="1"/>
      <c r="JYJ116" s="1"/>
      <c r="JYK116" s="1"/>
      <c r="JYL116" s="1"/>
      <c r="JYM116" s="1"/>
      <c r="JYN116" s="1"/>
      <c r="JYO116" s="1"/>
      <c r="JYP116" s="1"/>
      <c r="JYQ116" s="1"/>
      <c r="JYR116" s="1"/>
      <c r="JYS116" s="1"/>
      <c r="JYT116" s="1"/>
      <c r="JYU116" s="1"/>
      <c r="JYV116" s="1"/>
      <c r="JYW116" s="1"/>
      <c r="JYX116" s="1"/>
      <c r="JYY116" s="1"/>
      <c r="JYZ116" s="1"/>
      <c r="JZA116" s="1"/>
      <c r="JZB116" s="1"/>
      <c r="JZC116" s="1"/>
      <c r="JZD116" s="1"/>
      <c r="JZE116" s="1"/>
      <c r="JZF116" s="1"/>
      <c r="JZG116" s="1"/>
      <c r="JZH116" s="1"/>
      <c r="JZI116" s="1"/>
      <c r="JZJ116" s="1"/>
      <c r="JZK116" s="1"/>
      <c r="JZL116" s="1"/>
      <c r="JZM116" s="1"/>
      <c r="JZN116" s="1"/>
      <c r="JZO116" s="1"/>
      <c r="JZP116" s="1"/>
      <c r="JZQ116" s="1"/>
      <c r="JZR116" s="1"/>
      <c r="JZS116" s="1"/>
      <c r="JZT116" s="1"/>
      <c r="JZU116" s="1"/>
      <c r="JZV116" s="1"/>
      <c r="JZW116" s="1"/>
      <c r="JZX116" s="1"/>
      <c r="JZY116" s="1"/>
      <c r="JZZ116" s="1"/>
      <c r="KAA116" s="1"/>
      <c r="KAB116" s="1"/>
      <c r="KAC116" s="1"/>
      <c r="KAD116" s="1"/>
      <c r="KAE116" s="1"/>
      <c r="KAF116" s="1"/>
      <c r="KAG116" s="1"/>
      <c r="KAH116" s="1"/>
      <c r="KAI116" s="1"/>
      <c r="KAJ116" s="1"/>
      <c r="KAK116" s="1"/>
      <c r="KAL116" s="1"/>
      <c r="KAM116" s="1"/>
      <c r="KAN116" s="1"/>
      <c r="KAO116" s="1"/>
      <c r="KAP116" s="1"/>
      <c r="KAQ116" s="1"/>
      <c r="KAR116" s="1"/>
      <c r="KAS116" s="1"/>
      <c r="KAT116" s="1"/>
      <c r="KAU116" s="1"/>
      <c r="KAV116" s="1"/>
      <c r="KAW116" s="1"/>
      <c r="KAX116" s="1"/>
      <c r="KAY116" s="1"/>
      <c r="KAZ116" s="1"/>
      <c r="KBA116" s="1"/>
      <c r="KBB116" s="1"/>
      <c r="KBC116" s="1"/>
      <c r="KBD116" s="1"/>
      <c r="KBE116" s="1"/>
      <c r="KBF116" s="1"/>
      <c r="KBG116" s="1"/>
      <c r="KBH116" s="1"/>
      <c r="KBI116" s="1"/>
      <c r="KBJ116" s="1"/>
      <c r="KBK116" s="1"/>
      <c r="KBL116" s="1"/>
      <c r="KBM116" s="1"/>
      <c r="KBN116" s="1"/>
      <c r="KBO116" s="1"/>
      <c r="KBP116" s="1"/>
      <c r="KBQ116" s="1"/>
      <c r="KBR116" s="1"/>
      <c r="KBS116" s="1"/>
      <c r="KBT116" s="1"/>
      <c r="KBU116" s="1"/>
      <c r="KBV116" s="1"/>
      <c r="KBW116" s="1"/>
      <c r="KBX116" s="1"/>
      <c r="KBY116" s="1"/>
      <c r="KBZ116" s="1"/>
      <c r="KCA116" s="1"/>
      <c r="KCB116" s="1"/>
      <c r="KCC116" s="1"/>
      <c r="KCD116" s="1"/>
      <c r="KCE116" s="1"/>
      <c r="KCF116" s="1"/>
      <c r="KCG116" s="1"/>
      <c r="KCH116" s="1"/>
      <c r="KCI116" s="1"/>
      <c r="KCJ116" s="1"/>
      <c r="KCK116" s="1"/>
      <c r="KCL116" s="1"/>
      <c r="KCM116" s="1"/>
      <c r="KCN116" s="1"/>
      <c r="KCO116" s="1"/>
      <c r="KCP116" s="1"/>
      <c r="KCQ116" s="1"/>
      <c r="KCR116" s="1"/>
      <c r="KCS116" s="1"/>
      <c r="KCT116" s="1"/>
      <c r="KCU116" s="1"/>
      <c r="KCV116" s="1"/>
      <c r="KCW116" s="1"/>
      <c r="KCX116" s="1"/>
      <c r="KCY116" s="1"/>
      <c r="KCZ116" s="1"/>
      <c r="KDA116" s="1"/>
      <c r="KDB116" s="1"/>
      <c r="KDC116" s="1"/>
      <c r="KDD116" s="1"/>
      <c r="KDE116" s="1"/>
      <c r="KDF116" s="1"/>
      <c r="KDG116" s="1"/>
      <c r="KDH116" s="1"/>
      <c r="KDI116" s="1"/>
      <c r="KDJ116" s="1"/>
      <c r="KDK116" s="1"/>
      <c r="KDL116" s="1"/>
      <c r="KDM116" s="1"/>
      <c r="KDN116" s="1"/>
      <c r="KDO116" s="1"/>
      <c r="KDP116" s="1"/>
      <c r="KDQ116" s="1"/>
      <c r="KDR116" s="1"/>
      <c r="KDS116" s="1"/>
      <c r="KDT116" s="1"/>
      <c r="KDU116" s="1"/>
      <c r="KDV116" s="1"/>
      <c r="KDW116" s="1"/>
      <c r="KDX116" s="1"/>
      <c r="KDY116" s="1"/>
      <c r="KDZ116" s="1"/>
      <c r="KEA116" s="1"/>
      <c r="KEB116" s="1"/>
      <c r="KEC116" s="1"/>
      <c r="KED116" s="1"/>
      <c r="KEE116" s="1"/>
      <c r="KEF116" s="1"/>
      <c r="KEG116" s="1"/>
      <c r="KEH116" s="1"/>
      <c r="KEI116" s="1"/>
      <c r="KEJ116" s="1"/>
      <c r="KEK116" s="1"/>
      <c r="KEL116" s="1"/>
      <c r="KEM116" s="1"/>
      <c r="KEN116" s="1"/>
      <c r="KEO116" s="1"/>
      <c r="KEP116" s="1"/>
      <c r="KEQ116" s="1"/>
      <c r="KER116" s="1"/>
      <c r="KES116" s="1"/>
      <c r="KET116" s="1"/>
      <c r="KEU116" s="1"/>
      <c r="KEV116" s="1"/>
      <c r="KEW116" s="1"/>
      <c r="KEX116" s="1"/>
      <c r="KEY116" s="1"/>
      <c r="KEZ116" s="1"/>
      <c r="KFA116" s="1"/>
      <c r="KFB116" s="1"/>
      <c r="KFC116" s="1"/>
      <c r="KFD116" s="1"/>
      <c r="KFE116" s="1"/>
      <c r="KFF116" s="1"/>
      <c r="KFG116" s="1"/>
      <c r="KFH116" s="1"/>
      <c r="KFI116" s="1"/>
      <c r="KFJ116" s="1"/>
      <c r="KFK116" s="1"/>
      <c r="KFL116" s="1"/>
      <c r="KFM116" s="1"/>
      <c r="KFN116" s="1"/>
      <c r="KFO116" s="1"/>
      <c r="KFP116" s="1"/>
      <c r="KFQ116" s="1"/>
      <c r="KFR116" s="1"/>
      <c r="KFS116" s="1"/>
      <c r="KFT116" s="1"/>
      <c r="KFU116" s="1"/>
      <c r="KFV116" s="1"/>
      <c r="KFW116" s="1"/>
      <c r="KFX116" s="1"/>
      <c r="KFY116" s="1"/>
      <c r="KFZ116" s="1"/>
      <c r="KGA116" s="1"/>
      <c r="KGB116" s="1"/>
      <c r="KGC116" s="1"/>
      <c r="KGD116" s="1"/>
      <c r="KGE116" s="1"/>
      <c r="KGF116" s="1"/>
      <c r="KGG116" s="1"/>
      <c r="KGH116" s="1"/>
      <c r="KGI116" s="1"/>
      <c r="KGJ116" s="1"/>
      <c r="KGK116" s="1"/>
      <c r="KGL116" s="1"/>
      <c r="KGM116" s="1"/>
      <c r="KGN116" s="1"/>
      <c r="KGO116" s="1"/>
      <c r="KGP116" s="1"/>
      <c r="KGQ116" s="1"/>
      <c r="KGR116" s="1"/>
      <c r="KGS116" s="1"/>
      <c r="KGT116" s="1"/>
      <c r="KGU116" s="1"/>
      <c r="KGV116" s="1"/>
      <c r="KGW116" s="1"/>
      <c r="KGX116" s="1"/>
      <c r="KGY116" s="1"/>
      <c r="KGZ116" s="1"/>
      <c r="KHA116" s="1"/>
      <c r="KHB116" s="1"/>
      <c r="KHC116" s="1"/>
      <c r="KHD116" s="1"/>
      <c r="KHE116" s="1"/>
      <c r="KHF116" s="1"/>
      <c r="KHG116" s="1"/>
      <c r="KHH116" s="1"/>
      <c r="KHI116" s="1"/>
      <c r="KHJ116" s="1"/>
      <c r="KHK116" s="1"/>
      <c r="KHL116" s="1"/>
      <c r="KHM116" s="1"/>
      <c r="KHN116" s="1"/>
      <c r="KHO116" s="1"/>
      <c r="KHP116" s="1"/>
      <c r="KHQ116" s="1"/>
      <c r="KHR116" s="1"/>
      <c r="KHS116" s="1"/>
      <c r="KHT116" s="1"/>
      <c r="KHU116" s="1"/>
      <c r="KHV116" s="1"/>
      <c r="KHW116" s="1"/>
      <c r="KHX116" s="1"/>
      <c r="KHY116" s="1"/>
      <c r="KHZ116" s="1"/>
      <c r="KIA116" s="1"/>
      <c r="KIB116" s="1"/>
      <c r="KIC116" s="1"/>
      <c r="KID116" s="1"/>
      <c r="KIE116" s="1"/>
      <c r="KIF116" s="1"/>
      <c r="KIG116" s="1"/>
      <c r="KIH116" s="1"/>
      <c r="KII116" s="1"/>
      <c r="KIJ116" s="1"/>
      <c r="KIK116" s="1"/>
      <c r="KIL116" s="1"/>
      <c r="KIM116" s="1"/>
      <c r="KIN116" s="1"/>
      <c r="KIO116" s="1"/>
      <c r="KIP116" s="1"/>
      <c r="KIQ116" s="1"/>
      <c r="KIR116" s="1"/>
      <c r="KIS116" s="1"/>
      <c r="KIT116" s="1"/>
      <c r="KIU116" s="1"/>
      <c r="KIV116" s="1"/>
      <c r="KIW116" s="1"/>
      <c r="KIX116" s="1"/>
      <c r="KIY116" s="1"/>
      <c r="KIZ116" s="1"/>
      <c r="KJA116" s="1"/>
      <c r="KJB116" s="1"/>
      <c r="KJC116" s="1"/>
      <c r="KJD116" s="1"/>
      <c r="KJE116" s="1"/>
      <c r="KJF116" s="1"/>
      <c r="KJG116" s="1"/>
      <c r="KJH116" s="1"/>
      <c r="KJI116" s="1"/>
      <c r="KJJ116" s="1"/>
      <c r="KJK116" s="1"/>
      <c r="KJL116" s="1"/>
      <c r="KJM116" s="1"/>
      <c r="KJN116" s="1"/>
      <c r="KJO116" s="1"/>
      <c r="KJP116" s="1"/>
      <c r="KJQ116" s="1"/>
      <c r="KJR116" s="1"/>
      <c r="KJS116" s="1"/>
      <c r="KJT116" s="1"/>
      <c r="KJU116" s="1"/>
      <c r="KJV116" s="1"/>
      <c r="KJW116" s="1"/>
      <c r="KJX116" s="1"/>
      <c r="KJY116" s="1"/>
      <c r="KJZ116" s="1"/>
      <c r="KKA116" s="1"/>
      <c r="KKB116" s="1"/>
      <c r="KKC116" s="1"/>
      <c r="KKD116" s="1"/>
      <c r="KKE116" s="1"/>
      <c r="KKF116" s="1"/>
      <c r="KKG116" s="1"/>
      <c r="KKH116" s="1"/>
      <c r="KKI116" s="1"/>
      <c r="KKJ116" s="1"/>
      <c r="KKK116" s="1"/>
      <c r="KKL116" s="1"/>
      <c r="KKM116" s="1"/>
      <c r="KKN116" s="1"/>
      <c r="KKO116" s="1"/>
      <c r="KKP116" s="1"/>
      <c r="KKQ116" s="1"/>
      <c r="KKR116" s="1"/>
      <c r="KKS116" s="1"/>
      <c r="KKT116" s="1"/>
      <c r="KKU116" s="1"/>
      <c r="KKV116" s="1"/>
      <c r="KKW116" s="1"/>
      <c r="KKX116" s="1"/>
      <c r="KKY116" s="1"/>
      <c r="KKZ116" s="1"/>
      <c r="KLA116" s="1"/>
      <c r="KLB116" s="1"/>
      <c r="KLC116" s="1"/>
      <c r="KLD116" s="1"/>
      <c r="KLE116" s="1"/>
      <c r="KLF116" s="1"/>
      <c r="KLG116" s="1"/>
      <c r="KLH116" s="1"/>
      <c r="KLI116" s="1"/>
      <c r="KLJ116" s="1"/>
      <c r="KLK116" s="1"/>
      <c r="KLL116" s="1"/>
      <c r="KLM116" s="1"/>
      <c r="KLN116" s="1"/>
      <c r="KLO116" s="1"/>
      <c r="KLP116" s="1"/>
      <c r="KLQ116" s="1"/>
      <c r="KLR116" s="1"/>
      <c r="KLS116" s="1"/>
      <c r="KLT116" s="1"/>
      <c r="KLU116" s="1"/>
      <c r="KLV116" s="1"/>
      <c r="KLW116" s="1"/>
      <c r="KLX116" s="1"/>
      <c r="KLY116" s="1"/>
      <c r="KLZ116" s="1"/>
      <c r="KMA116" s="1"/>
      <c r="KMB116" s="1"/>
      <c r="KMC116" s="1"/>
      <c r="KMD116" s="1"/>
      <c r="KME116" s="1"/>
      <c r="KMF116" s="1"/>
      <c r="KMG116" s="1"/>
      <c r="KMH116" s="1"/>
      <c r="KMI116" s="1"/>
      <c r="KMJ116" s="1"/>
      <c r="KMK116" s="1"/>
      <c r="KML116" s="1"/>
      <c r="KMM116" s="1"/>
      <c r="KMN116" s="1"/>
      <c r="KMO116" s="1"/>
      <c r="KMP116" s="1"/>
      <c r="KMQ116" s="1"/>
      <c r="KMR116" s="1"/>
      <c r="KMS116" s="1"/>
      <c r="KMT116" s="1"/>
      <c r="KMU116" s="1"/>
      <c r="KMV116" s="1"/>
      <c r="KMW116" s="1"/>
      <c r="KMX116" s="1"/>
      <c r="KMY116" s="1"/>
      <c r="KMZ116" s="1"/>
      <c r="KNA116" s="1"/>
      <c r="KNB116" s="1"/>
      <c r="KNC116" s="1"/>
      <c r="KND116" s="1"/>
      <c r="KNE116" s="1"/>
      <c r="KNF116" s="1"/>
      <c r="KNG116" s="1"/>
      <c r="KNH116" s="1"/>
      <c r="KNI116" s="1"/>
      <c r="KNJ116" s="1"/>
      <c r="KNK116" s="1"/>
      <c r="KNL116" s="1"/>
      <c r="KNM116" s="1"/>
      <c r="KNN116" s="1"/>
      <c r="KNO116" s="1"/>
      <c r="KNP116" s="1"/>
      <c r="KNQ116" s="1"/>
      <c r="KNR116" s="1"/>
      <c r="KNS116" s="1"/>
      <c r="KNT116" s="1"/>
      <c r="KNU116" s="1"/>
      <c r="KNV116" s="1"/>
      <c r="KNW116" s="1"/>
      <c r="KNX116" s="1"/>
      <c r="KNY116" s="1"/>
      <c r="KNZ116" s="1"/>
      <c r="KOA116" s="1"/>
      <c r="KOB116" s="1"/>
      <c r="KOC116" s="1"/>
      <c r="KOD116" s="1"/>
      <c r="KOE116" s="1"/>
      <c r="KOF116" s="1"/>
      <c r="KOG116" s="1"/>
      <c r="KOH116" s="1"/>
      <c r="KOI116" s="1"/>
      <c r="KOJ116" s="1"/>
      <c r="KOK116" s="1"/>
      <c r="KOL116" s="1"/>
      <c r="KOM116" s="1"/>
      <c r="KON116" s="1"/>
      <c r="KOO116" s="1"/>
      <c r="KOP116" s="1"/>
      <c r="KOQ116" s="1"/>
      <c r="KOR116" s="1"/>
      <c r="KOS116" s="1"/>
      <c r="KOT116" s="1"/>
      <c r="KOU116" s="1"/>
      <c r="KOV116" s="1"/>
      <c r="KOW116" s="1"/>
      <c r="KOX116" s="1"/>
      <c r="KOY116" s="1"/>
      <c r="KOZ116" s="1"/>
      <c r="KPA116" s="1"/>
      <c r="KPB116" s="1"/>
      <c r="KPC116" s="1"/>
      <c r="KPD116" s="1"/>
      <c r="KPE116" s="1"/>
      <c r="KPF116" s="1"/>
      <c r="KPG116" s="1"/>
      <c r="KPH116" s="1"/>
      <c r="KPI116" s="1"/>
      <c r="KPJ116" s="1"/>
      <c r="KPK116" s="1"/>
      <c r="KPL116" s="1"/>
      <c r="KPM116" s="1"/>
      <c r="KPN116" s="1"/>
      <c r="KPO116" s="1"/>
      <c r="KPP116" s="1"/>
      <c r="KPQ116" s="1"/>
      <c r="KPR116" s="1"/>
      <c r="KPS116" s="1"/>
      <c r="KPT116" s="1"/>
      <c r="KPU116" s="1"/>
      <c r="KPV116" s="1"/>
      <c r="KPW116" s="1"/>
      <c r="KPX116" s="1"/>
      <c r="KPY116" s="1"/>
      <c r="KPZ116" s="1"/>
      <c r="KQA116" s="1"/>
      <c r="KQB116" s="1"/>
      <c r="KQC116" s="1"/>
      <c r="KQD116" s="1"/>
      <c r="KQE116" s="1"/>
      <c r="KQF116" s="1"/>
      <c r="KQG116" s="1"/>
      <c r="KQH116" s="1"/>
      <c r="KQI116" s="1"/>
      <c r="KQJ116" s="1"/>
      <c r="KQK116" s="1"/>
      <c r="KQL116" s="1"/>
      <c r="KQM116" s="1"/>
      <c r="KQN116" s="1"/>
      <c r="KQO116" s="1"/>
      <c r="KQP116" s="1"/>
      <c r="KQQ116" s="1"/>
      <c r="KQR116" s="1"/>
      <c r="KQS116" s="1"/>
      <c r="KQT116" s="1"/>
      <c r="KQU116" s="1"/>
      <c r="KQV116" s="1"/>
      <c r="KQW116" s="1"/>
      <c r="KQX116" s="1"/>
      <c r="KQY116" s="1"/>
      <c r="KQZ116" s="1"/>
      <c r="KRA116" s="1"/>
      <c r="KRB116" s="1"/>
      <c r="KRC116" s="1"/>
      <c r="KRD116" s="1"/>
      <c r="KRE116" s="1"/>
      <c r="KRF116" s="1"/>
      <c r="KRG116" s="1"/>
      <c r="KRH116" s="1"/>
      <c r="KRI116" s="1"/>
      <c r="KRJ116" s="1"/>
      <c r="KRK116" s="1"/>
      <c r="KRL116" s="1"/>
      <c r="KRM116" s="1"/>
      <c r="KRN116" s="1"/>
      <c r="KRO116" s="1"/>
      <c r="KRP116" s="1"/>
      <c r="KRQ116" s="1"/>
      <c r="KRR116" s="1"/>
      <c r="KRS116" s="1"/>
      <c r="KRT116" s="1"/>
      <c r="KRU116" s="1"/>
      <c r="KRV116" s="1"/>
      <c r="KRW116" s="1"/>
      <c r="KRX116" s="1"/>
      <c r="KRY116" s="1"/>
      <c r="KRZ116" s="1"/>
      <c r="KSA116" s="1"/>
      <c r="KSB116" s="1"/>
      <c r="KSC116" s="1"/>
      <c r="KSD116" s="1"/>
      <c r="KSE116" s="1"/>
      <c r="KSF116" s="1"/>
      <c r="KSG116" s="1"/>
      <c r="KSH116" s="1"/>
      <c r="KSI116" s="1"/>
      <c r="KSJ116" s="1"/>
      <c r="KSK116" s="1"/>
      <c r="KSL116" s="1"/>
      <c r="KSM116" s="1"/>
      <c r="KSN116" s="1"/>
      <c r="KSO116" s="1"/>
      <c r="KSP116" s="1"/>
      <c r="KSQ116" s="1"/>
      <c r="KSR116" s="1"/>
      <c r="KSS116" s="1"/>
      <c r="KST116" s="1"/>
      <c r="KSU116" s="1"/>
      <c r="KSV116" s="1"/>
      <c r="KSW116" s="1"/>
      <c r="KSX116" s="1"/>
      <c r="KSY116" s="1"/>
      <c r="KSZ116" s="1"/>
      <c r="KTA116" s="1"/>
      <c r="KTB116" s="1"/>
      <c r="KTC116" s="1"/>
      <c r="KTD116" s="1"/>
      <c r="KTE116" s="1"/>
      <c r="KTF116" s="1"/>
      <c r="KTG116" s="1"/>
      <c r="KTH116" s="1"/>
      <c r="KTI116" s="1"/>
      <c r="KTJ116" s="1"/>
      <c r="KTK116" s="1"/>
      <c r="KTL116" s="1"/>
      <c r="KTM116" s="1"/>
      <c r="KTN116" s="1"/>
      <c r="KTO116" s="1"/>
      <c r="KTP116" s="1"/>
      <c r="KTQ116" s="1"/>
      <c r="KTR116" s="1"/>
      <c r="KTS116" s="1"/>
      <c r="KTT116" s="1"/>
      <c r="KTU116" s="1"/>
      <c r="KTV116" s="1"/>
      <c r="KTW116" s="1"/>
      <c r="KTX116" s="1"/>
      <c r="KTY116" s="1"/>
      <c r="KTZ116" s="1"/>
      <c r="KUA116" s="1"/>
      <c r="KUB116" s="1"/>
      <c r="KUC116" s="1"/>
      <c r="KUD116" s="1"/>
      <c r="KUE116" s="1"/>
      <c r="KUF116" s="1"/>
      <c r="KUG116" s="1"/>
      <c r="KUH116" s="1"/>
      <c r="KUI116" s="1"/>
      <c r="KUJ116" s="1"/>
      <c r="KUK116" s="1"/>
      <c r="KUL116" s="1"/>
      <c r="KUM116" s="1"/>
      <c r="KUN116" s="1"/>
      <c r="KUO116" s="1"/>
      <c r="KUP116" s="1"/>
      <c r="KUQ116" s="1"/>
      <c r="KUR116" s="1"/>
      <c r="KUS116" s="1"/>
      <c r="KUT116" s="1"/>
      <c r="KUU116" s="1"/>
      <c r="KUV116" s="1"/>
      <c r="KUW116" s="1"/>
      <c r="KUX116" s="1"/>
      <c r="KUY116" s="1"/>
      <c r="KUZ116" s="1"/>
      <c r="KVA116" s="1"/>
      <c r="KVB116" s="1"/>
      <c r="KVC116" s="1"/>
      <c r="KVD116" s="1"/>
      <c r="KVE116" s="1"/>
      <c r="KVF116" s="1"/>
      <c r="KVG116" s="1"/>
      <c r="KVH116" s="1"/>
      <c r="KVI116" s="1"/>
      <c r="KVJ116" s="1"/>
      <c r="KVK116" s="1"/>
      <c r="KVL116" s="1"/>
      <c r="KVM116" s="1"/>
      <c r="KVN116" s="1"/>
      <c r="KVO116" s="1"/>
      <c r="KVP116" s="1"/>
      <c r="KVQ116" s="1"/>
      <c r="KVR116" s="1"/>
      <c r="KVS116" s="1"/>
      <c r="KVT116" s="1"/>
      <c r="KVU116" s="1"/>
      <c r="KVV116" s="1"/>
      <c r="KVW116" s="1"/>
      <c r="KVX116" s="1"/>
      <c r="KVY116" s="1"/>
      <c r="KVZ116" s="1"/>
      <c r="KWA116" s="1"/>
      <c r="KWB116" s="1"/>
      <c r="KWC116" s="1"/>
      <c r="KWD116" s="1"/>
      <c r="KWE116" s="1"/>
      <c r="KWF116" s="1"/>
      <c r="KWG116" s="1"/>
      <c r="KWH116" s="1"/>
      <c r="KWI116" s="1"/>
      <c r="KWJ116" s="1"/>
      <c r="KWK116" s="1"/>
      <c r="KWL116" s="1"/>
      <c r="KWM116" s="1"/>
      <c r="KWN116" s="1"/>
      <c r="KWO116" s="1"/>
      <c r="KWP116" s="1"/>
      <c r="KWQ116" s="1"/>
      <c r="KWR116" s="1"/>
      <c r="KWS116" s="1"/>
      <c r="KWT116" s="1"/>
      <c r="KWU116" s="1"/>
      <c r="KWV116" s="1"/>
      <c r="KWW116" s="1"/>
      <c r="KWX116" s="1"/>
      <c r="KWY116" s="1"/>
      <c r="KWZ116" s="1"/>
      <c r="KXA116" s="1"/>
      <c r="KXB116" s="1"/>
      <c r="KXC116" s="1"/>
      <c r="KXD116" s="1"/>
      <c r="KXE116" s="1"/>
      <c r="KXF116" s="1"/>
      <c r="KXG116" s="1"/>
      <c r="KXH116" s="1"/>
      <c r="KXI116" s="1"/>
      <c r="KXJ116" s="1"/>
      <c r="KXK116" s="1"/>
      <c r="KXL116" s="1"/>
      <c r="KXM116" s="1"/>
      <c r="KXN116" s="1"/>
      <c r="KXO116" s="1"/>
      <c r="KXP116" s="1"/>
      <c r="KXQ116" s="1"/>
      <c r="KXR116" s="1"/>
      <c r="KXS116" s="1"/>
      <c r="KXT116" s="1"/>
      <c r="KXU116" s="1"/>
      <c r="KXV116" s="1"/>
      <c r="KXW116" s="1"/>
      <c r="KXX116" s="1"/>
      <c r="KXY116" s="1"/>
      <c r="KXZ116" s="1"/>
      <c r="KYA116" s="1"/>
      <c r="KYB116" s="1"/>
      <c r="KYC116" s="1"/>
      <c r="KYD116" s="1"/>
      <c r="KYE116" s="1"/>
      <c r="KYF116" s="1"/>
      <c r="KYG116" s="1"/>
      <c r="KYH116" s="1"/>
      <c r="KYI116" s="1"/>
      <c r="KYJ116" s="1"/>
      <c r="KYK116" s="1"/>
      <c r="KYL116" s="1"/>
      <c r="KYM116" s="1"/>
      <c r="KYN116" s="1"/>
      <c r="KYO116" s="1"/>
      <c r="KYP116" s="1"/>
      <c r="KYQ116" s="1"/>
      <c r="KYR116" s="1"/>
      <c r="KYS116" s="1"/>
      <c r="KYT116" s="1"/>
      <c r="KYU116" s="1"/>
      <c r="KYV116" s="1"/>
      <c r="KYW116" s="1"/>
      <c r="KYX116" s="1"/>
      <c r="KYY116" s="1"/>
      <c r="KYZ116" s="1"/>
      <c r="KZA116" s="1"/>
      <c r="KZB116" s="1"/>
      <c r="KZC116" s="1"/>
      <c r="KZD116" s="1"/>
      <c r="KZE116" s="1"/>
      <c r="KZF116" s="1"/>
      <c r="KZG116" s="1"/>
      <c r="KZH116" s="1"/>
      <c r="KZI116" s="1"/>
      <c r="KZJ116" s="1"/>
      <c r="KZK116" s="1"/>
      <c r="KZL116" s="1"/>
      <c r="KZM116" s="1"/>
      <c r="KZN116" s="1"/>
      <c r="KZO116" s="1"/>
      <c r="KZP116" s="1"/>
      <c r="KZQ116" s="1"/>
      <c r="KZR116" s="1"/>
      <c r="KZS116" s="1"/>
      <c r="KZT116" s="1"/>
      <c r="KZU116" s="1"/>
      <c r="KZV116" s="1"/>
      <c r="KZW116" s="1"/>
      <c r="KZX116" s="1"/>
      <c r="KZY116" s="1"/>
      <c r="KZZ116" s="1"/>
      <c r="LAA116" s="1"/>
      <c r="LAB116" s="1"/>
      <c r="LAC116" s="1"/>
      <c r="LAD116" s="1"/>
      <c r="LAE116" s="1"/>
      <c r="LAF116" s="1"/>
      <c r="LAG116" s="1"/>
      <c r="LAH116" s="1"/>
      <c r="LAI116" s="1"/>
      <c r="LAJ116" s="1"/>
      <c r="LAK116" s="1"/>
      <c r="LAL116" s="1"/>
      <c r="LAM116" s="1"/>
      <c r="LAN116" s="1"/>
      <c r="LAO116" s="1"/>
      <c r="LAP116" s="1"/>
      <c r="LAQ116" s="1"/>
      <c r="LAR116" s="1"/>
      <c r="LAS116" s="1"/>
      <c r="LAT116" s="1"/>
      <c r="LAU116" s="1"/>
      <c r="LAV116" s="1"/>
      <c r="LAW116" s="1"/>
      <c r="LAX116" s="1"/>
      <c r="LAY116" s="1"/>
      <c r="LAZ116" s="1"/>
      <c r="LBA116" s="1"/>
      <c r="LBB116" s="1"/>
      <c r="LBC116" s="1"/>
      <c r="LBD116" s="1"/>
      <c r="LBE116" s="1"/>
      <c r="LBF116" s="1"/>
      <c r="LBG116" s="1"/>
      <c r="LBH116" s="1"/>
      <c r="LBI116" s="1"/>
      <c r="LBJ116" s="1"/>
      <c r="LBK116" s="1"/>
      <c r="LBL116" s="1"/>
      <c r="LBM116" s="1"/>
      <c r="LBN116" s="1"/>
      <c r="LBO116" s="1"/>
      <c r="LBP116" s="1"/>
      <c r="LBQ116" s="1"/>
      <c r="LBR116" s="1"/>
      <c r="LBS116" s="1"/>
      <c r="LBT116" s="1"/>
      <c r="LBU116" s="1"/>
      <c r="LBV116" s="1"/>
      <c r="LBW116" s="1"/>
      <c r="LBX116" s="1"/>
      <c r="LBY116" s="1"/>
      <c r="LBZ116" s="1"/>
      <c r="LCA116" s="1"/>
      <c r="LCB116" s="1"/>
      <c r="LCC116" s="1"/>
      <c r="LCD116" s="1"/>
      <c r="LCE116" s="1"/>
      <c r="LCF116" s="1"/>
      <c r="LCG116" s="1"/>
      <c r="LCH116" s="1"/>
      <c r="LCI116" s="1"/>
      <c r="LCJ116" s="1"/>
      <c r="LCK116" s="1"/>
      <c r="LCL116" s="1"/>
      <c r="LCM116" s="1"/>
      <c r="LCN116" s="1"/>
      <c r="LCO116" s="1"/>
      <c r="LCP116" s="1"/>
      <c r="LCQ116" s="1"/>
      <c r="LCR116" s="1"/>
      <c r="LCS116" s="1"/>
      <c r="LCT116" s="1"/>
      <c r="LCU116" s="1"/>
      <c r="LCV116" s="1"/>
      <c r="LCW116" s="1"/>
      <c r="LCX116" s="1"/>
      <c r="LCY116" s="1"/>
      <c r="LCZ116" s="1"/>
      <c r="LDA116" s="1"/>
      <c r="LDB116" s="1"/>
      <c r="LDC116" s="1"/>
      <c r="LDD116" s="1"/>
      <c r="LDE116" s="1"/>
      <c r="LDF116" s="1"/>
      <c r="LDG116" s="1"/>
      <c r="LDH116" s="1"/>
      <c r="LDI116" s="1"/>
      <c r="LDJ116" s="1"/>
      <c r="LDK116" s="1"/>
      <c r="LDL116" s="1"/>
      <c r="LDM116" s="1"/>
      <c r="LDN116" s="1"/>
      <c r="LDO116" s="1"/>
      <c r="LDP116" s="1"/>
      <c r="LDQ116" s="1"/>
      <c r="LDR116" s="1"/>
      <c r="LDS116" s="1"/>
      <c r="LDT116" s="1"/>
      <c r="LDU116" s="1"/>
      <c r="LDV116" s="1"/>
      <c r="LDW116" s="1"/>
      <c r="LDX116" s="1"/>
      <c r="LDY116" s="1"/>
      <c r="LDZ116" s="1"/>
      <c r="LEA116" s="1"/>
      <c r="LEB116" s="1"/>
      <c r="LEC116" s="1"/>
      <c r="LED116" s="1"/>
      <c r="LEE116" s="1"/>
      <c r="LEF116" s="1"/>
      <c r="LEG116" s="1"/>
      <c r="LEH116" s="1"/>
      <c r="LEI116" s="1"/>
      <c r="LEJ116" s="1"/>
      <c r="LEK116" s="1"/>
      <c r="LEL116" s="1"/>
      <c r="LEM116" s="1"/>
      <c r="LEN116" s="1"/>
      <c r="LEO116" s="1"/>
      <c r="LEP116" s="1"/>
      <c r="LEQ116" s="1"/>
      <c r="LER116" s="1"/>
      <c r="LES116" s="1"/>
      <c r="LET116" s="1"/>
      <c r="LEU116" s="1"/>
      <c r="LEV116" s="1"/>
      <c r="LEW116" s="1"/>
      <c r="LEX116" s="1"/>
      <c r="LEY116" s="1"/>
      <c r="LEZ116" s="1"/>
      <c r="LFA116" s="1"/>
      <c r="LFB116" s="1"/>
      <c r="LFC116" s="1"/>
      <c r="LFD116" s="1"/>
      <c r="LFE116" s="1"/>
      <c r="LFF116" s="1"/>
      <c r="LFG116" s="1"/>
      <c r="LFH116" s="1"/>
      <c r="LFI116" s="1"/>
      <c r="LFJ116" s="1"/>
      <c r="LFK116" s="1"/>
      <c r="LFL116" s="1"/>
      <c r="LFM116" s="1"/>
      <c r="LFN116" s="1"/>
      <c r="LFO116" s="1"/>
      <c r="LFP116" s="1"/>
      <c r="LFQ116" s="1"/>
      <c r="LFR116" s="1"/>
      <c r="LFS116" s="1"/>
      <c r="LFT116" s="1"/>
      <c r="LFU116" s="1"/>
      <c r="LFV116" s="1"/>
      <c r="LFW116" s="1"/>
      <c r="LFX116" s="1"/>
      <c r="LFY116" s="1"/>
      <c r="LFZ116" s="1"/>
      <c r="LGA116" s="1"/>
      <c r="LGB116" s="1"/>
      <c r="LGC116" s="1"/>
      <c r="LGD116" s="1"/>
      <c r="LGE116" s="1"/>
      <c r="LGF116" s="1"/>
      <c r="LGG116" s="1"/>
      <c r="LGH116" s="1"/>
      <c r="LGI116" s="1"/>
      <c r="LGJ116" s="1"/>
      <c r="LGK116" s="1"/>
      <c r="LGL116" s="1"/>
      <c r="LGM116" s="1"/>
      <c r="LGN116" s="1"/>
      <c r="LGO116" s="1"/>
      <c r="LGP116" s="1"/>
      <c r="LGQ116" s="1"/>
      <c r="LGR116" s="1"/>
      <c r="LGS116" s="1"/>
      <c r="LGT116" s="1"/>
      <c r="LGU116" s="1"/>
      <c r="LGV116" s="1"/>
      <c r="LGW116" s="1"/>
      <c r="LGX116" s="1"/>
      <c r="LGY116" s="1"/>
      <c r="LGZ116" s="1"/>
      <c r="LHA116" s="1"/>
      <c r="LHB116" s="1"/>
      <c r="LHC116" s="1"/>
      <c r="LHD116" s="1"/>
      <c r="LHE116" s="1"/>
      <c r="LHF116" s="1"/>
      <c r="LHG116" s="1"/>
      <c r="LHH116" s="1"/>
      <c r="LHI116" s="1"/>
      <c r="LHJ116" s="1"/>
      <c r="LHK116" s="1"/>
      <c r="LHL116" s="1"/>
      <c r="LHM116" s="1"/>
      <c r="LHN116" s="1"/>
      <c r="LHO116" s="1"/>
      <c r="LHP116" s="1"/>
      <c r="LHQ116" s="1"/>
      <c r="LHR116" s="1"/>
      <c r="LHS116" s="1"/>
      <c r="LHT116" s="1"/>
      <c r="LHU116" s="1"/>
      <c r="LHV116" s="1"/>
      <c r="LHW116" s="1"/>
      <c r="LHX116" s="1"/>
      <c r="LHY116" s="1"/>
      <c r="LHZ116" s="1"/>
      <c r="LIA116" s="1"/>
      <c r="LIB116" s="1"/>
      <c r="LIC116" s="1"/>
      <c r="LID116" s="1"/>
      <c r="LIE116" s="1"/>
      <c r="LIF116" s="1"/>
      <c r="LIG116" s="1"/>
      <c r="LIH116" s="1"/>
      <c r="LII116" s="1"/>
      <c r="LIJ116" s="1"/>
      <c r="LIK116" s="1"/>
      <c r="LIL116" s="1"/>
      <c r="LIM116" s="1"/>
      <c r="LIN116" s="1"/>
      <c r="LIO116" s="1"/>
      <c r="LIP116" s="1"/>
      <c r="LIQ116" s="1"/>
      <c r="LIR116" s="1"/>
      <c r="LIS116" s="1"/>
      <c r="LIT116" s="1"/>
      <c r="LIU116" s="1"/>
      <c r="LIV116" s="1"/>
      <c r="LIW116" s="1"/>
      <c r="LIX116" s="1"/>
      <c r="LIY116" s="1"/>
      <c r="LIZ116" s="1"/>
      <c r="LJA116" s="1"/>
      <c r="LJB116" s="1"/>
      <c r="LJC116" s="1"/>
      <c r="LJD116" s="1"/>
      <c r="LJE116" s="1"/>
      <c r="LJF116" s="1"/>
      <c r="LJG116" s="1"/>
      <c r="LJH116" s="1"/>
      <c r="LJI116" s="1"/>
      <c r="LJJ116" s="1"/>
      <c r="LJK116" s="1"/>
      <c r="LJL116" s="1"/>
      <c r="LJM116" s="1"/>
      <c r="LJN116" s="1"/>
      <c r="LJO116" s="1"/>
      <c r="LJP116" s="1"/>
      <c r="LJQ116" s="1"/>
      <c r="LJR116" s="1"/>
      <c r="LJS116" s="1"/>
      <c r="LJT116" s="1"/>
      <c r="LJU116" s="1"/>
      <c r="LJV116" s="1"/>
      <c r="LJW116" s="1"/>
      <c r="LJX116" s="1"/>
      <c r="LJY116" s="1"/>
      <c r="LJZ116" s="1"/>
      <c r="LKA116" s="1"/>
      <c r="LKB116" s="1"/>
      <c r="LKC116" s="1"/>
      <c r="LKD116" s="1"/>
      <c r="LKE116" s="1"/>
      <c r="LKF116" s="1"/>
      <c r="LKG116" s="1"/>
      <c r="LKH116" s="1"/>
      <c r="LKI116" s="1"/>
      <c r="LKJ116" s="1"/>
      <c r="LKK116" s="1"/>
      <c r="LKL116" s="1"/>
      <c r="LKM116" s="1"/>
      <c r="LKN116" s="1"/>
      <c r="LKO116" s="1"/>
      <c r="LKP116" s="1"/>
      <c r="LKQ116" s="1"/>
      <c r="LKR116" s="1"/>
      <c r="LKS116" s="1"/>
      <c r="LKT116" s="1"/>
      <c r="LKU116" s="1"/>
      <c r="LKV116" s="1"/>
      <c r="LKW116" s="1"/>
      <c r="LKX116" s="1"/>
      <c r="LKY116" s="1"/>
      <c r="LKZ116" s="1"/>
      <c r="LLA116" s="1"/>
      <c r="LLB116" s="1"/>
      <c r="LLC116" s="1"/>
      <c r="LLD116" s="1"/>
      <c r="LLE116" s="1"/>
      <c r="LLF116" s="1"/>
      <c r="LLG116" s="1"/>
      <c r="LLH116" s="1"/>
      <c r="LLI116" s="1"/>
      <c r="LLJ116" s="1"/>
      <c r="LLK116" s="1"/>
      <c r="LLL116" s="1"/>
      <c r="LLM116" s="1"/>
      <c r="LLN116" s="1"/>
      <c r="LLO116" s="1"/>
      <c r="LLP116" s="1"/>
      <c r="LLQ116" s="1"/>
      <c r="LLR116" s="1"/>
      <c r="LLS116" s="1"/>
      <c r="LLT116" s="1"/>
      <c r="LLU116" s="1"/>
      <c r="LLV116" s="1"/>
      <c r="LLW116" s="1"/>
      <c r="LLX116" s="1"/>
      <c r="LLY116" s="1"/>
      <c r="LLZ116" s="1"/>
      <c r="LMA116" s="1"/>
      <c r="LMB116" s="1"/>
      <c r="LMC116" s="1"/>
      <c r="LMD116" s="1"/>
      <c r="LME116" s="1"/>
      <c r="LMF116" s="1"/>
      <c r="LMG116" s="1"/>
      <c r="LMH116" s="1"/>
      <c r="LMI116" s="1"/>
      <c r="LMJ116" s="1"/>
      <c r="LMK116" s="1"/>
      <c r="LML116" s="1"/>
      <c r="LMM116" s="1"/>
      <c r="LMN116" s="1"/>
      <c r="LMO116" s="1"/>
      <c r="LMP116" s="1"/>
      <c r="LMQ116" s="1"/>
      <c r="LMR116" s="1"/>
      <c r="LMS116" s="1"/>
      <c r="LMT116" s="1"/>
      <c r="LMU116" s="1"/>
      <c r="LMV116" s="1"/>
      <c r="LMW116" s="1"/>
      <c r="LMX116" s="1"/>
      <c r="LMY116" s="1"/>
      <c r="LMZ116" s="1"/>
      <c r="LNA116" s="1"/>
      <c r="LNB116" s="1"/>
      <c r="LNC116" s="1"/>
      <c r="LND116" s="1"/>
      <c r="LNE116" s="1"/>
      <c r="LNF116" s="1"/>
      <c r="LNG116" s="1"/>
      <c r="LNH116" s="1"/>
      <c r="LNI116" s="1"/>
      <c r="LNJ116" s="1"/>
      <c r="LNK116" s="1"/>
      <c r="LNL116" s="1"/>
      <c r="LNM116" s="1"/>
      <c r="LNN116" s="1"/>
      <c r="LNO116" s="1"/>
      <c r="LNP116" s="1"/>
      <c r="LNQ116" s="1"/>
      <c r="LNR116" s="1"/>
      <c r="LNS116" s="1"/>
      <c r="LNT116" s="1"/>
      <c r="LNU116" s="1"/>
      <c r="LNV116" s="1"/>
      <c r="LNW116" s="1"/>
      <c r="LNX116" s="1"/>
      <c r="LNY116" s="1"/>
      <c r="LNZ116" s="1"/>
      <c r="LOA116" s="1"/>
      <c r="LOB116" s="1"/>
      <c r="LOC116" s="1"/>
      <c r="LOD116" s="1"/>
      <c r="LOE116" s="1"/>
      <c r="LOF116" s="1"/>
      <c r="LOG116" s="1"/>
      <c r="LOH116" s="1"/>
      <c r="LOI116" s="1"/>
      <c r="LOJ116" s="1"/>
      <c r="LOK116" s="1"/>
      <c r="LOL116" s="1"/>
      <c r="LOM116" s="1"/>
      <c r="LON116" s="1"/>
      <c r="LOO116" s="1"/>
      <c r="LOP116" s="1"/>
      <c r="LOQ116" s="1"/>
      <c r="LOR116" s="1"/>
      <c r="LOS116" s="1"/>
      <c r="LOT116" s="1"/>
      <c r="LOU116" s="1"/>
      <c r="LOV116" s="1"/>
      <c r="LOW116" s="1"/>
      <c r="LOX116" s="1"/>
      <c r="LOY116" s="1"/>
      <c r="LOZ116" s="1"/>
      <c r="LPA116" s="1"/>
      <c r="LPB116" s="1"/>
      <c r="LPC116" s="1"/>
      <c r="LPD116" s="1"/>
      <c r="LPE116" s="1"/>
      <c r="LPF116" s="1"/>
      <c r="LPG116" s="1"/>
      <c r="LPH116" s="1"/>
      <c r="LPI116" s="1"/>
      <c r="LPJ116" s="1"/>
      <c r="LPK116" s="1"/>
      <c r="LPL116" s="1"/>
      <c r="LPM116" s="1"/>
      <c r="LPN116" s="1"/>
      <c r="LPO116" s="1"/>
      <c r="LPP116" s="1"/>
      <c r="LPQ116" s="1"/>
      <c r="LPR116" s="1"/>
      <c r="LPS116" s="1"/>
      <c r="LPT116" s="1"/>
      <c r="LPU116" s="1"/>
      <c r="LPV116" s="1"/>
      <c r="LPW116" s="1"/>
      <c r="LPX116" s="1"/>
      <c r="LPY116" s="1"/>
      <c r="LPZ116" s="1"/>
      <c r="LQA116" s="1"/>
      <c r="LQB116" s="1"/>
      <c r="LQC116" s="1"/>
      <c r="LQD116" s="1"/>
      <c r="LQE116" s="1"/>
      <c r="LQF116" s="1"/>
      <c r="LQG116" s="1"/>
      <c r="LQH116" s="1"/>
      <c r="LQI116" s="1"/>
      <c r="LQJ116" s="1"/>
      <c r="LQK116" s="1"/>
      <c r="LQL116" s="1"/>
      <c r="LQM116" s="1"/>
      <c r="LQN116" s="1"/>
      <c r="LQO116" s="1"/>
      <c r="LQP116" s="1"/>
      <c r="LQQ116" s="1"/>
      <c r="LQR116" s="1"/>
      <c r="LQS116" s="1"/>
      <c r="LQT116" s="1"/>
      <c r="LQU116" s="1"/>
      <c r="LQV116" s="1"/>
      <c r="LQW116" s="1"/>
      <c r="LQX116" s="1"/>
      <c r="LQY116" s="1"/>
      <c r="LQZ116" s="1"/>
      <c r="LRA116" s="1"/>
      <c r="LRB116" s="1"/>
      <c r="LRC116" s="1"/>
      <c r="LRD116" s="1"/>
      <c r="LRE116" s="1"/>
      <c r="LRF116" s="1"/>
      <c r="LRG116" s="1"/>
      <c r="LRH116" s="1"/>
      <c r="LRI116" s="1"/>
      <c r="LRJ116" s="1"/>
      <c r="LRK116" s="1"/>
      <c r="LRL116" s="1"/>
      <c r="LRM116" s="1"/>
      <c r="LRN116" s="1"/>
      <c r="LRO116" s="1"/>
      <c r="LRP116" s="1"/>
      <c r="LRQ116" s="1"/>
      <c r="LRR116" s="1"/>
      <c r="LRS116" s="1"/>
      <c r="LRT116" s="1"/>
      <c r="LRU116" s="1"/>
      <c r="LRV116" s="1"/>
      <c r="LRW116" s="1"/>
      <c r="LRX116" s="1"/>
      <c r="LRY116" s="1"/>
      <c r="LRZ116" s="1"/>
      <c r="LSA116" s="1"/>
      <c r="LSB116" s="1"/>
      <c r="LSC116" s="1"/>
      <c r="LSD116" s="1"/>
      <c r="LSE116" s="1"/>
      <c r="LSF116" s="1"/>
      <c r="LSG116" s="1"/>
      <c r="LSH116" s="1"/>
      <c r="LSI116" s="1"/>
      <c r="LSJ116" s="1"/>
      <c r="LSK116" s="1"/>
      <c r="LSL116" s="1"/>
      <c r="LSM116" s="1"/>
      <c r="LSN116" s="1"/>
      <c r="LSO116" s="1"/>
      <c r="LSP116" s="1"/>
      <c r="LSQ116" s="1"/>
      <c r="LSR116" s="1"/>
      <c r="LSS116" s="1"/>
      <c r="LST116" s="1"/>
      <c r="LSU116" s="1"/>
      <c r="LSV116" s="1"/>
      <c r="LSW116" s="1"/>
      <c r="LSX116" s="1"/>
      <c r="LSY116" s="1"/>
      <c r="LSZ116" s="1"/>
      <c r="LTA116" s="1"/>
      <c r="LTB116" s="1"/>
      <c r="LTC116" s="1"/>
      <c r="LTD116" s="1"/>
      <c r="LTE116" s="1"/>
      <c r="LTF116" s="1"/>
      <c r="LTG116" s="1"/>
      <c r="LTH116" s="1"/>
      <c r="LTI116" s="1"/>
      <c r="LTJ116" s="1"/>
      <c r="LTK116" s="1"/>
      <c r="LTL116" s="1"/>
      <c r="LTM116" s="1"/>
      <c r="LTN116" s="1"/>
      <c r="LTO116" s="1"/>
      <c r="LTP116" s="1"/>
      <c r="LTQ116" s="1"/>
      <c r="LTR116" s="1"/>
      <c r="LTS116" s="1"/>
      <c r="LTT116" s="1"/>
      <c r="LTU116" s="1"/>
      <c r="LTV116" s="1"/>
      <c r="LTW116" s="1"/>
      <c r="LTX116" s="1"/>
      <c r="LTY116" s="1"/>
      <c r="LTZ116" s="1"/>
      <c r="LUA116" s="1"/>
      <c r="LUB116" s="1"/>
      <c r="LUC116" s="1"/>
      <c r="LUD116" s="1"/>
      <c r="LUE116" s="1"/>
      <c r="LUF116" s="1"/>
      <c r="LUG116" s="1"/>
      <c r="LUH116" s="1"/>
      <c r="LUI116" s="1"/>
      <c r="LUJ116" s="1"/>
      <c r="LUK116" s="1"/>
      <c r="LUL116" s="1"/>
      <c r="LUM116" s="1"/>
      <c r="LUN116" s="1"/>
      <c r="LUO116" s="1"/>
      <c r="LUP116" s="1"/>
      <c r="LUQ116" s="1"/>
      <c r="LUR116" s="1"/>
      <c r="LUS116" s="1"/>
      <c r="LUT116" s="1"/>
      <c r="LUU116" s="1"/>
      <c r="LUV116" s="1"/>
      <c r="LUW116" s="1"/>
      <c r="LUX116" s="1"/>
      <c r="LUY116" s="1"/>
      <c r="LUZ116" s="1"/>
      <c r="LVA116" s="1"/>
      <c r="LVB116" s="1"/>
      <c r="LVC116" s="1"/>
      <c r="LVD116" s="1"/>
      <c r="LVE116" s="1"/>
      <c r="LVF116" s="1"/>
      <c r="LVG116" s="1"/>
      <c r="LVH116" s="1"/>
      <c r="LVI116" s="1"/>
      <c r="LVJ116" s="1"/>
      <c r="LVK116" s="1"/>
      <c r="LVL116" s="1"/>
      <c r="LVM116" s="1"/>
      <c r="LVN116" s="1"/>
      <c r="LVO116" s="1"/>
      <c r="LVP116" s="1"/>
      <c r="LVQ116" s="1"/>
      <c r="LVR116" s="1"/>
      <c r="LVS116" s="1"/>
      <c r="LVT116" s="1"/>
      <c r="LVU116" s="1"/>
      <c r="LVV116" s="1"/>
      <c r="LVW116" s="1"/>
      <c r="LVX116" s="1"/>
      <c r="LVY116" s="1"/>
      <c r="LVZ116" s="1"/>
      <c r="LWA116" s="1"/>
      <c r="LWB116" s="1"/>
      <c r="LWC116" s="1"/>
      <c r="LWD116" s="1"/>
      <c r="LWE116" s="1"/>
      <c r="LWF116" s="1"/>
      <c r="LWG116" s="1"/>
      <c r="LWH116" s="1"/>
      <c r="LWI116" s="1"/>
      <c r="LWJ116" s="1"/>
      <c r="LWK116" s="1"/>
      <c r="LWL116" s="1"/>
      <c r="LWM116" s="1"/>
      <c r="LWN116" s="1"/>
      <c r="LWO116" s="1"/>
      <c r="LWP116" s="1"/>
      <c r="LWQ116" s="1"/>
      <c r="LWR116" s="1"/>
      <c r="LWS116" s="1"/>
      <c r="LWT116" s="1"/>
      <c r="LWU116" s="1"/>
      <c r="LWV116" s="1"/>
      <c r="LWW116" s="1"/>
      <c r="LWX116" s="1"/>
      <c r="LWY116" s="1"/>
      <c r="LWZ116" s="1"/>
      <c r="LXA116" s="1"/>
      <c r="LXB116" s="1"/>
      <c r="LXC116" s="1"/>
      <c r="LXD116" s="1"/>
      <c r="LXE116" s="1"/>
      <c r="LXF116" s="1"/>
      <c r="LXG116" s="1"/>
      <c r="LXH116" s="1"/>
      <c r="LXI116" s="1"/>
      <c r="LXJ116" s="1"/>
      <c r="LXK116" s="1"/>
      <c r="LXL116" s="1"/>
      <c r="LXM116" s="1"/>
      <c r="LXN116" s="1"/>
      <c r="LXO116" s="1"/>
      <c r="LXP116" s="1"/>
      <c r="LXQ116" s="1"/>
      <c r="LXR116" s="1"/>
      <c r="LXS116" s="1"/>
      <c r="LXT116" s="1"/>
      <c r="LXU116" s="1"/>
      <c r="LXV116" s="1"/>
      <c r="LXW116" s="1"/>
      <c r="LXX116" s="1"/>
      <c r="LXY116" s="1"/>
      <c r="LXZ116" s="1"/>
      <c r="LYA116" s="1"/>
      <c r="LYB116" s="1"/>
      <c r="LYC116" s="1"/>
      <c r="LYD116" s="1"/>
      <c r="LYE116" s="1"/>
      <c r="LYF116" s="1"/>
      <c r="LYG116" s="1"/>
      <c r="LYH116" s="1"/>
      <c r="LYI116" s="1"/>
      <c r="LYJ116" s="1"/>
      <c r="LYK116" s="1"/>
      <c r="LYL116" s="1"/>
      <c r="LYM116" s="1"/>
      <c r="LYN116" s="1"/>
      <c r="LYO116" s="1"/>
      <c r="LYP116" s="1"/>
      <c r="LYQ116" s="1"/>
      <c r="LYR116" s="1"/>
      <c r="LYS116" s="1"/>
      <c r="LYT116" s="1"/>
      <c r="LYU116" s="1"/>
      <c r="LYV116" s="1"/>
      <c r="LYW116" s="1"/>
      <c r="LYX116" s="1"/>
      <c r="LYY116" s="1"/>
      <c r="LYZ116" s="1"/>
      <c r="LZA116" s="1"/>
      <c r="LZB116" s="1"/>
      <c r="LZC116" s="1"/>
      <c r="LZD116" s="1"/>
      <c r="LZE116" s="1"/>
      <c r="LZF116" s="1"/>
      <c r="LZG116" s="1"/>
      <c r="LZH116" s="1"/>
      <c r="LZI116" s="1"/>
      <c r="LZJ116" s="1"/>
      <c r="LZK116" s="1"/>
      <c r="LZL116" s="1"/>
      <c r="LZM116" s="1"/>
      <c r="LZN116" s="1"/>
      <c r="LZO116" s="1"/>
      <c r="LZP116" s="1"/>
      <c r="LZQ116" s="1"/>
      <c r="LZR116" s="1"/>
      <c r="LZS116" s="1"/>
      <c r="LZT116" s="1"/>
      <c r="LZU116" s="1"/>
      <c r="LZV116" s="1"/>
      <c r="LZW116" s="1"/>
      <c r="LZX116" s="1"/>
      <c r="LZY116" s="1"/>
      <c r="LZZ116" s="1"/>
      <c r="MAA116" s="1"/>
      <c r="MAB116" s="1"/>
      <c r="MAC116" s="1"/>
      <c r="MAD116" s="1"/>
      <c r="MAE116" s="1"/>
      <c r="MAF116" s="1"/>
      <c r="MAG116" s="1"/>
      <c r="MAH116" s="1"/>
      <c r="MAI116" s="1"/>
      <c r="MAJ116" s="1"/>
      <c r="MAK116" s="1"/>
      <c r="MAL116" s="1"/>
      <c r="MAM116" s="1"/>
      <c r="MAN116" s="1"/>
      <c r="MAO116" s="1"/>
      <c r="MAP116" s="1"/>
      <c r="MAQ116" s="1"/>
      <c r="MAR116" s="1"/>
      <c r="MAS116" s="1"/>
      <c r="MAT116" s="1"/>
      <c r="MAU116" s="1"/>
      <c r="MAV116" s="1"/>
      <c r="MAW116" s="1"/>
      <c r="MAX116" s="1"/>
      <c r="MAY116" s="1"/>
      <c r="MAZ116" s="1"/>
      <c r="MBA116" s="1"/>
      <c r="MBB116" s="1"/>
      <c r="MBC116" s="1"/>
      <c r="MBD116" s="1"/>
      <c r="MBE116" s="1"/>
      <c r="MBF116" s="1"/>
      <c r="MBG116" s="1"/>
      <c r="MBH116" s="1"/>
      <c r="MBI116" s="1"/>
      <c r="MBJ116" s="1"/>
      <c r="MBK116" s="1"/>
      <c r="MBL116" s="1"/>
      <c r="MBM116" s="1"/>
      <c r="MBN116" s="1"/>
      <c r="MBO116" s="1"/>
      <c r="MBP116" s="1"/>
      <c r="MBQ116" s="1"/>
      <c r="MBR116" s="1"/>
      <c r="MBS116" s="1"/>
      <c r="MBT116" s="1"/>
      <c r="MBU116" s="1"/>
      <c r="MBV116" s="1"/>
      <c r="MBW116" s="1"/>
      <c r="MBX116" s="1"/>
      <c r="MBY116" s="1"/>
      <c r="MBZ116" s="1"/>
      <c r="MCA116" s="1"/>
      <c r="MCB116" s="1"/>
      <c r="MCC116" s="1"/>
      <c r="MCD116" s="1"/>
      <c r="MCE116" s="1"/>
      <c r="MCF116" s="1"/>
      <c r="MCG116" s="1"/>
      <c r="MCH116" s="1"/>
      <c r="MCI116" s="1"/>
      <c r="MCJ116" s="1"/>
      <c r="MCK116" s="1"/>
      <c r="MCL116" s="1"/>
      <c r="MCM116" s="1"/>
      <c r="MCN116" s="1"/>
      <c r="MCO116" s="1"/>
      <c r="MCP116" s="1"/>
      <c r="MCQ116" s="1"/>
      <c r="MCR116" s="1"/>
      <c r="MCS116" s="1"/>
      <c r="MCT116" s="1"/>
      <c r="MCU116" s="1"/>
      <c r="MCV116" s="1"/>
      <c r="MCW116" s="1"/>
      <c r="MCX116" s="1"/>
      <c r="MCY116" s="1"/>
      <c r="MCZ116" s="1"/>
      <c r="MDA116" s="1"/>
      <c r="MDB116" s="1"/>
      <c r="MDC116" s="1"/>
      <c r="MDD116" s="1"/>
      <c r="MDE116" s="1"/>
      <c r="MDF116" s="1"/>
      <c r="MDG116" s="1"/>
      <c r="MDH116" s="1"/>
      <c r="MDI116" s="1"/>
      <c r="MDJ116" s="1"/>
      <c r="MDK116" s="1"/>
      <c r="MDL116" s="1"/>
      <c r="MDM116" s="1"/>
      <c r="MDN116" s="1"/>
      <c r="MDO116" s="1"/>
      <c r="MDP116" s="1"/>
      <c r="MDQ116" s="1"/>
      <c r="MDR116" s="1"/>
      <c r="MDS116" s="1"/>
      <c r="MDT116" s="1"/>
      <c r="MDU116" s="1"/>
      <c r="MDV116" s="1"/>
      <c r="MDW116" s="1"/>
      <c r="MDX116" s="1"/>
      <c r="MDY116" s="1"/>
      <c r="MDZ116" s="1"/>
      <c r="MEA116" s="1"/>
      <c r="MEB116" s="1"/>
      <c r="MEC116" s="1"/>
      <c r="MED116" s="1"/>
      <c r="MEE116" s="1"/>
      <c r="MEF116" s="1"/>
      <c r="MEG116" s="1"/>
      <c r="MEH116" s="1"/>
      <c r="MEI116" s="1"/>
      <c r="MEJ116" s="1"/>
      <c r="MEK116" s="1"/>
      <c r="MEL116" s="1"/>
      <c r="MEM116" s="1"/>
      <c r="MEN116" s="1"/>
      <c r="MEO116" s="1"/>
      <c r="MEP116" s="1"/>
      <c r="MEQ116" s="1"/>
      <c r="MER116" s="1"/>
      <c r="MES116" s="1"/>
      <c r="MET116" s="1"/>
      <c r="MEU116" s="1"/>
      <c r="MEV116" s="1"/>
      <c r="MEW116" s="1"/>
      <c r="MEX116" s="1"/>
      <c r="MEY116" s="1"/>
      <c r="MEZ116" s="1"/>
      <c r="MFA116" s="1"/>
      <c r="MFB116" s="1"/>
      <c r="MFC116" s="1"/>
      <c r="MFD116" s="1"/>
      <c r="MFE116" s="1"/>
      <c r="MFF116" s="1"/>
      <c r="MFG116" s="1"/>
      <c r="MFH116" s="1"/>
      <c r="MFI116" s="1"/>
      <c r="MFJ116" s="1"/>
      <c r="MFK116" s="1"/>
      <c r="MFL116" s="1"/>
      <c r="MFM116" s="1"/>
      <c r="MFN116" s="1"/>
      <c r="MFO116" s="1"/>
      <c r="MFP116" s="1"/>
      <c r="MFQ116" s="1"/>
      <c r="MFR116" s="1"/>
      <c r="MFS116" s="1"/>
      <c r="MFT116" s="1"/>
      <c r="MFU116" s="1"/>
      <c r="MFV116" s="1"/>
      <c r="MFW116" s="1"/>
      <c r="MFX116" s="1"/>
      <c r="MFY116" s="1"/>
      <c r="MFZ116" s="1"/>
      <c r="MGA116" s="1"/>
      <c r="MGB116" s="1"/>
      <c r="MGC116" s="1"/>
      <c r="MGD116" s="1"/>
      <c r="MGE116" s="1"/>
      <c r="MGF116" s="1"/>
      <c r="MGG116" s="1"/>
      <c r="MGH116" s="1"/>
      <c r="MGI116" s="1"/>
      <c r="MGJ116" s="1"/>
      <c r="MGK116" s="1"/>
      <c r="MGL116" s="1"/>
      <c r="MGM116" s="1"/>
      <c r="MGN116" s="1"/>
      <c r="MGO116" s="1"/>
      <c r="MGP116" s="1"/>
      <c r="MGQ116" s="1"/>
      <c r="MGR116" s="1"/>
      <c r="MGS116" s="1"/>
      <c r="MGT116" s="1"/>
      <c r="MGU116" s="1"/>
      <c r="MGV116" s="1"/>
      <c r="MGW116" s="1"/>
      <c r="MGX116" s="1"/>
      <c r="MGY116" s="1"/>
      <c r="MGZ116" s="1"/>
      <c r="MHA116" s="1"/>
      <c r="MHB116" s="1"/>
      <c r="MHC116" s="1"/>
      <c r="MHD116" s="1"/>
      <c r="MHE116" s="1"/>
      <c r="MHF116" s="1"/>
      <c r="MHG116" s="1"/>
      <c r="MHH116" s="1"/>
      <c r="MHI116" s="1"/>
      <c r="MHJ116" s="1"/>
      <c r="MHK116" s="1"/>
      <c r="MHL116" s="1"/>
      <c r="MHM116" s="1"/>
      <c r="MHN116" s="1"/>
      <c r="MHO116" s="1"/>
      <c r="MHP116" s="1"/>
      <c r="MHQ116" s="1"/>
      <c r="MHR116" s="1"/>
      <c r="MHS116" s="1"/>
      <c r="MHT116" s="1"/>
      <c r="MHU116" s="1"/>
      <c r="MHV116" s="1"/>
      <c r="MHW116" s="1"/>
      <c r="MHX116" s="1"/>
      <c r="MHY116" s="1"/>
      <c r="MHZ116" s="1"/>
      <c r="MIA116" s="1"/>
      <c r="MIB116" s="1"/>
      <c r="MIC116" s="1"/>
      <c r="MID116" s="1"/>
      <c r="MIE116" s="1"/>
      <c r="MIF116" s="1"/>
      <c r="MIG116" s="1"/>
      <c r="MIH116" s="1"/>
      <c r="MII116" s="1"/>
      <c r="MIJ116" s="1"/>
      <c r="MIK116" s="1"/>
      <c r="MIL116" s="1"/>
      <c r="MIM116" s="1"/>
      <c r="MIN116" s="1"/>
      <c r="MIO116" s="1"/>
      <c r="MIP116" s="1"/>
      <c r="MIQ116" s="1"/>
      <c r="MIR116" s="1"/>
      <c r="MIS116" s="1"/>
      <c r="MIT116" s="1"/>
      <c r="MIU116" s="1"/>
      <c r="MIV116" s="1"/>
      <c r="MIW116" s="1"/>
      <c r="MIX116" s="1"/>
      <c r="MIY116" s="1"/>
      <c r="MIZ116" s="1"/>
      <c r="MJA116" s="1"/>
      <c r="MJB116" s="1"/>
      <c r="MJC116" s="1"/>
      <c r="MJD116" s="1"/>
      <c r="MJE116" s="1"/>
      <c r="MJF116" s="1"/>
      <c r="MJG116" s="1"/>
      <c r="MJH116" s="1"/>
      <c r="MJI116" s="1"/>
      <c r="MJJ116" s="1"/>
      <c r="MJK116" s="1"/>
      <c r="MJL116" s="1"/>
      <c r="MJM116" s="1"/>
      <c r="MJN116" s="1"/>
      <c r="MJO116" s="1"/>
      <c r="MJP116" s="1"/>
      <c r="MJQ116" s="1"/>
      <c r="MJR116" s="1"/>
      <c r="MJS116" s="1"/>
      <c r="MJT116" s="1"/>
      <c r="MJU116" s="1"/>
      <c r="MJV116" s="1"/>
      <c r="MJW116" s="1"/>
      <c r="MJX116" s="1"/>
      <c r="MJY116" s="1"/>
      <c r="MJZ116" s="1"/>
      <c r="MKA116" s="1"/>
      <c r="MKB116" s="1"/>
      <c r="MKC116" s="1"/>
      <c r="MKD116" s="1"/>
      <c r="MKE116" s="1"/>
      <c r="MKF116" s="1"/>
      <c r="MKG116" s="1"/>
      <c r="MKH116" s="1"/>
      <c r="MKI116" s="1"/>
      <c r="MKJ116" s="1"/>
      <c r="MKK116" s="1"/>
      <c r="MKL116" s="1"/>
      <c r="MKM116" s="1"/>
      <c r="MKN116" s="1"/>
      <c r="MKO116" s="1"/>
      <c r="MKP116" s="1"/>
      <c r="MKQ116" s="1"/>
      <c r="MKR116" s="1"/>
      <c r="MKS116" s="1"/>
      <c r="MKT116" s="1"/>
      <c r="MKU116" s="1"/>
      <c r="MKV116" s="1"/>
      <c r="MKW116" s="1"/>
      <c r="MKX116" s="1"/>
      <c r="MKY116" s="1"/>
      <c r="MKZ116" s="1"/>
      <c r="MLA116" s="1"/>
      <c r="MLB116" s="1"/>
      <c r="MLC116" s="1"/>
      <c r="MLD116" s="1"/>
      <c r="MLE116" s="1"/>
      <c r="MLF116" s="1"/>
      <c r="MLG116" s="1"/>
      <c r="MLH116" s="1"/>
      <c r="MLI116" s="1"/>
      <c r="MLJ116" s="1"/>
      <c r="MLK116" s="1"/>
      <c r="MLL116" s="1"/>
      <c r="MLM116" s="1"/>
      <c r="MLN116" s="1"/>
      <c r="MLO116" s="1"/>
      <c r="MLP116" s="1"/>
      <c r="MLQ116" s="1"/>
      <c r="MLR116" s="1"/>
      <c r="MLS116" s="1"/>
      <c r="MLT116" s="1"/>
      <c r="MLU116" s="1"/>
      <c r="MLV116" s="1"/>
      <c r="MLW116" s="1"/>
      <c r="MLX116" s="1"/>
      <c r="MLY116" s="1"/>
      <c r="MLZ116" s="1"/>
      <c r="MMA116" s="1"/>
      <c r="MMB116" s="1"/>
      <c r="MMC116" s="1"/>
      <c r="MMD116" s="1"/>
      <c r="MME116" s="1"/>
      <c r="MMF116" s="1"/>
      <c r="MMG116" s="1"/>
      <c r="MMH116" s="1"/>
      <c r="MMI116" s="1"/>
      <c r="MMJ116" s="1"/>
      <c r="MMK116" s="1"/>
      <c r="MML116" s="1"/>
      <c r="MMM116" s="1"/>
      <c r="MMN116" s="1"/>
      <c r="MMO116" s="1"/>
      <c r="MMP116" s="1"/>
      <c r="MMQ116" s="1"/>
      <c r="MMR116" s="1"/>
      <c r="MMS116" s="1"/>
      <c r="MMT116" s="1"/>
      <c r="MMU116" s="1"/>
      <c r="MMV116" s="1"/>
      <c r="MMW116" s="1"/>
      <c r="MMX116" s="1"/>
      <c r="MMY116" s="1"/>
      <c r="MMZ116" s="1"/>
      <c r="MNA116" s="1"/>
      <c r="MNB116" s="1"/>
      <c r="MNC116" s="1"/>
      <c r="MND116" s="1"/>
      <c r="MNE116" s="1"/>
      <c r="MNF116" s="1"/>
      <c r="MNG116" s="1"/>
      <c r="MNH116" s="1"/>
      <c r="MNI116" s="1"/>
      <c r="MNJ116" s="1"/>
      <c r="MNK116" s="1"/>
      <c r="MNL116" s="1"/>
      <c r="MNM116" s="1"/>
      <c r="MNN116" s="1"/>
      <c r="MNO116" s="1"/>
      <c r="MNP116" s="1"/>
      <c r="MNQ116" s="1"/>
      <c r="MNR116" s="1"/>
      <c r="MNS116" s="1"/>
      <c r="MNT116" s="1"/>
      <c r="MNU116" s="1"/>
      <c r="MNV116" s="1"/>
      <c r="MNW116" s="1"/>
      <c r="MNX116" s="1"/>
      <c r="MNY116" s="1"/>
      <c r="MNZ116" s="1"/>
      <c r="MOA116" s="1"/>
      <c r="MOB116" s="1"/>
      <c r="MOC116" s="1"/>
      <c r="MOD116" s="1"/>
      <c r="MOE116" s="1"/>
      <c r="MOF116" s="1"/>
      <c r="MOG116" s="1"/>
      <c r="MOH116" s="1"/>
      <c r="MOI116" s="1"/>
      <c r="MOJ116" s="1"/>
      <c r="MOK116" s="1"/>
      <c r="MOL116" s="1"/>
      <c r="MOM116" s="1"/>
      <c r="MON116" s="1"/>
      <c r="MOO116" s="1"/>
      <c r="MOP116" s="1"/>
      <c r="MOQ116" s="1"/>
      <c r="MOR116" s="1"/>
      <c r="MOS116" s="1"/>
      <c r="MOT116" s="1"/>
      <c r="MOU116" s="1"/>
      <c r="MOV116" s="1"/>
      <c r="MOW116" s="1"/>
      <c r="MOX116" s="1"/>
      <c r="MOY116" s="1"/>
      <c r="MOZ116" s="1"/>
      <c r="MPA116" s="1"/>
      <c r="MPB116" s="1"/>
      <c r="MPC116" s="1"/>
      <c r="MPD116" s="1"/>
      <c r="MPE116" s="1"/>
      <c r="MPF116" s="1"/>
      <c r="MPG116" s="1"/>
      <c r="MPH116" s="1"/>
      <c r="MPI116" s="1"/>
      <c r="MPJ116" s="1"/>
      <c r="MPK116" s="1"/>
      <c r="MPL116" s="1"/>
      <c r="MPM116" s="1"/>
      <c r="MPN116" s="1"/>
      <c r="MPO116" s="1"/>
      <c r="MPP116" s="1"/>
      <c r="MPQ116" s="1"/>
      <c r="MPR116" s="1"/>
      <c r="MPS116" s="1"/>
      <c r="MPT116" s="1"/>
      <c r="MPU116" s="1"/>
      <c r="MPV116" s="1"/>
      <c r="MPW116" s="1"/>
      <c r="MPX116" s="1"/>
      <c r="MPY116" s="1"/>
      <c r="MPZ116" s="1"/>
      <c r="MQA116" s="1"/>
      <c r="MQB116" s="1"/>
      <c r="MQC116" s="1"/>
      <c r="MQD116" s="1"/>
      <c r="MQE116" s="1"/>
      <c r="MQF116" s="1"/>
      <c r="MQG116" s="1"/>
      <c r="MQH116" s="1"/>
      <c r="MQI116" s="1"/>
      <c r="MQJ116" s="1"/>
      <c r="MQK116" s="1"/>
      <c r="MQL116" s="1"/>
      <c r="MQM116" s="1"/>
      <c r="MQN116" s="1"/>
      <c r="MQO116" s="1"/>
      <c r="MQP116" s="1"/>
      <c r="MQQ116" s="1"/>
      <c r="MQR116" s="1"/>
      <c r="MQS116" s="1"/>
      <c r="MQT116" s="1"/>
      <c r="MQU116" s="1"/>
      <c r="MQV116" s="1"/>
      <c r="MQW116" s="1"/>
      <c r="MQX116" s="1"/>
      <c r="MQY116" s="1"/>
      <c r="MQZ116" s="1"/>
      <c r="MRA116" s="1"/>
      <c r="MRB116" s="1"/>
      <c r="MRC116" s="1"/>
      <c r="MRD116" s="1"/>
      <c r="MRE116" s="1"/>
      <c r="MRF116" s="1"/>
      <c r="MRG116" s="1"/>
      <c r="MRH116" s="1"/>
      <c r="MRI116" s="1"/>
      <c r="MRJ116" s="1"/>
      <c r="MRK116" s="1"/>
      <c r="MRL116" s="1"/>
      <c r="MRM116" s="1"/>
      <c r="MRN116" s="1"/>
      <c r="MRO116" s="1"/>
      <c r="MRP116" s="1"/>
      <c r="MRQ116" s="1"/>
      <c r="MRR116" s="1"/>
      <c r="MRS116" s="1"/>
      <c r="MRT116" s="1"/>
      <c r="MRU116" s="1"/>
      <c r="MRV116" s="1"/>
      <c r="MRW116" s="1"/>
      <c r="MRX116" s="1"/>
      <c r="MRY116" s="1"/>
      <c r="MRZ116" s="1"/>
      <c r="MSA116" s="1"/>
      <c r="MSB116" s="1"/>
      <c r="MSC116" s="1"/>
      <c r="MSD116" s="1"/>
      <c r="MSE116" s="1"/>
      <c r="MSF116" s="1"/>
      <c r="MSG116" s="1"/>
      <c r="MSH116" s="1"/>
      <c r="MSI116" s="1"/>
      <c r="MSJ116" s="1"/>
      <c r="MSK116" s="1"/>
      <c r="MSL116" s="1"/>
      <c r="MSM116" s="1"/>
      <c r="MSN116" s="1"/>
      <c r="MSO116" s="1"/>
      <c r="MSP116" s="1"/>
      <c r="MSQ116" s="1"/>
      <c r="MSR116" s="1"/>
      <c r="MSS116" s="1"/>
      <c r="MST116" s="1"/>
      <c r="MSU116" s="1"/>
      <c r="MSV116" s="1"/>
      <c r="MSW116" s="1"/>
      <c r="MSX116" s="1"/>
      <c r="MSY116" s="1"/>
      <c r="MSZ116" s="1"/>
      <c r="MTA116" s="1"/>
      <c r="MTB116" s="1"/>
      <c r="MTC116" s="1"/>
      <c r="MTD116" s="1"/>
      <c r="MTE116" s="1"/>
      <c r="MTF116" s="1"/>
      <c r="MTG116" s="1"/>
      <c r="MTH116" s="1"/>
      <c r="MTI116" s="1"/>
      <c r="MTJ116" s="1"/>
      <c r="MTK116" s="1"/>
      <c r="MTL116" s="1"/>
      <c r="MTM116" s="1"/>
      <c r="MTN116" s="1"/>
      <c r="MTO116" s="1"/>
      <c r="MTP116" s="1"/>
      <c r="MTQ116" s="1"/>
      <c r="MTR116" s="1"/>
      <c r="MTS116" s="1"/>
      <c r="MTT116" s="1"/>
      <c r="MTU116" s="1"/>
      <c r="MTV116" s="1"/>
      <c r="MTW116" s="1"/>
      <c r="MTX116" s="1"/>
      <c r="MTY116" s="1"/>
      <c r="MTZ116" s="1"/>
      <c r="MUA116" s="1"/>
      <c r="MUB116" s="1"/>
      <c r="MUC116" s="1"/>
      <c r="MUD116" s="1"/>
      <c r="MUE116" s="1"/>
      <c r="MUF116" s="1"/>
      <c r="MUG116" s="1"/>
      <c r="MUH116" s="1"/>
      <c r="MUI116" s="1"/>
      <c r="MUJ116" s="1"/>
      <c r="MUK116" s="1"/>
      <c r="MUL116" s="1"/>
      <c r="MUM116" s="1"/>
      <c r="MUN116" s="1"/>
      <c r="MUO116" s="1"/>
      <c r="MUP116" s="1"/>
      <c r="MUQ116" s="1"/>
      <c r="MUR116" s="1"/>
      <c r="MUS116" s="1"/>
      <c r="MUT116" s="1"/>
      <c r="MUU116" s="1"/>
      <c r="MUV116" s="1"/>
      <c r="MUW116" s="1"/>
      <c r="MUX116" s="1"/>
      <c r="MUY116" s="1"/>
      <c r="MUZ116" s="1"/>
      <c r="MVA116" s="1"/>
      <c r="MVB116" s="1"/>
      <c r="MVC116" s="1"/>
      <c r="MVD116" s="1"/>
      <c r="MVE116" s="1"/>
      <c r="MVF116" s="1"/>
      <c r="MVG116" s="1"/>
      <c r="MVH116" s="1"/>
      <c r="MVI116" s="1"/>
      <c r="MVJ116" s="1"/>
      <c r="MVK116" s="1"/>
      <c r="MVL116" s="1"/>
      <c r="MVM116" s="1"/>
      <c r="MVN116" s="1"/>
      <c r="MVO116" s="1"/>
      <c r="MVP116" s="1"/>
      <c r="MVQ116" s="1"/>
      <c r="MVR116" s="1"/>
      <c r="MVS116" s="1"/>
      <c r="MVT116" s="1"/>
      <c r="MVU116" s="1"/>
      <c r="MVV116" s="1"/>
      <c r="MVW116" s="1"/>
      <c r="MVX116" s="1"/>
      <c r="MVY116" s="1"/>
      <c r="MVZ116" s="1"/>
      <c r="MWA116" s="1"/>
      <c r="MWB116" s="1"/>
      <c r="MWC116" s="1"/>
      <c r="MWD116" s="1"/>
      <c r="MWE116" s="1"/>
      <c r="MWF116" s="1"/>
      <c r="MWG116" s="1"/>
      <c r="MWH116" s="1"/>
      <c r="MWI116" s="1"/>
      <c r="MWJ116" s="1"/>
      <c r="MWK116" s="1"/>
      <c r="MWL116" s="1"/>
      <c r="MWM116" s="1"/>
      <c r="MWN116" s="1"/>
      <c r="MWO116" s="1"/>
      <c r="MWP116" s="1"/>
      <c r="MWQ116" s="1"/>
      <c r="MWR116" s="1"/>
      <c r="MWS116" s="1"/>
      <c r="MWT116" s="1"/>
      <c r="MWU116" s="1"/>
      <c r="MWV116" s="1"/>
      <c r="MWW116" s="1"/>
      <c r="MWX116" s="1"/>
      <c r="MWY116" s="1"/>
      <c r="MWZ116" s="1"/>
      <c r="MXA116" s="1"/>
      <c r="MXB116" s="1"/>
      <c r="MXC116" s="1"/>
      <c r="MXD116" s="1"/>
      <c r="MXE116" s="1"/>
      <c r="MXF116" s="1"/>
      <c r="MXG116" s="1"/>
      <c r="MXH116" s="1"/>
      <c r="MXI116" s="1"/>
      <c r="MXJ116" s="1"/>
      <c r="MXK116" s="1"/>
      <c r="MXL116" s="1"/>
      <c r="MXM116" s="1"/>
      <c r="MXN116" s="1"/>
      <c r="MXO116" s="1"/>
      <c r="MXP116" s="1"/>
      <c r="MXQ116" s="1"/>
      <c r="MXR116" s="1"/>
      <c r="MXS116" s="1"/>
      <c r="MXT116" s="1"/>
      <c r="MXU116" s="1"/>
      <c r="MXV116" s="1"/>
      <c r="MXW116" s="1"/>
      <c r="MXX116" s="1"/>
      <c r="MXY116" s="1"/>
      <c r="MXZ116" s="1"/>
      <c r="MYA116" s="1"/>
      <c r="MYB116" s="1"/>
      <c r="MYC116" s="1"/>
      <c r="MYD116" s="1"/>
      <c r="MYE116" s="1"/>
      <c r="MYF116" s="1"/>
      <c r="MYG116" s="1"/>
      <c r="MYH116" s="1"/>
      <c r="MYI116" s="1"/>
      <c r="MYJ116" s="1"/>
      <c r="MYK116" s="1"/>
      <c r="MYL116" s="1"/>
      <c r="MYM116" s="1"/>
      <c r="MYN116" s="1"/>
      <c r="MYO116" s="1"/>
      <c r="MYP116" s="1"/>
      <c r="MYQ116" s="1"/>
      <c r="MYR116" s="1"/>
      <c r="MYS116" s="1"/>
      <c r="MYT116" s="1"/>
      <c r="MYU116" s="1"/>
      <c r="MYV116" s="1"/>
      <c r="MYW116" s="1"/>
      <c r="MYX116" s="1"/>
      <c r="MYY116" s="1"/>
      <c r="MYZ116" s="1"/>
      <c r="MZA116" s="1"/>
      <c r="MZB116" s="1"/>
      <c r="MZC116" s="1"/>
      <c r="MZD116" s="1"/>
      <c r="MZE116" s="1"/>
      <c r="MZF116" s="1"/>
      <c r="MZG116" s="1"/>
      <c r="MZH116" s="1"/>
      <c r="MZI116" s="1"/>
      <c r="MZJ116" s="1"/>
      <c r="MZK116" s="1"/>
      <c r="MZL116" s="1"/>
      <c r="MZM116" s="1"/>
      <c r="MZN116" s="1"/>
      <c r="MZO116" s="1"/>
      <c r="MZP116" s="1"/>
      <c r="MZQ116" s="1"/>
      <c r="MZR116" s="1"/>
      <c r="MZS116" s="1"/>
      <c r="MZT116" s="1"/>
      <c r="MZU116" s="1"/>
      <c r="MZV116" s="1"/>
      <c r="MZW116" s="1"/>
      <c r="MZX116" s="1"/>
      <c r="MZY116" s="1"/>
      <c r="MZZ116" s="1"/>
      <c r="NAA116" s="1"/>
      <c r="NAB116" s="1"/>
      <c r="NAC116" s="1"/>
      <c r="NAD116" s="1"/>
      <c r="NAE116" s="1"/>
      <c r="NAF116" s="1"/>
      <c r="NAG116" s="1"/>
      <c r="NAH116" s="1"/>
      <c r="NAI116" s="1"/>
      <c r="NAJ116" s="1"/>
      <c r="NAK116" s="1"/>
      <c r="NAL116" s="1"/>
      <c r="NAM116" s="1"/>
      <c r="NAN116" s="1"/>
      <c r="NAO116" s="1"/>
      <c r="NAP116" s="1"/>
      <c r="NAQ116" s="1"/>
      <c r="NAR116" s="1"/>
      <c r="NAS116" s="1"/>
      <c r="NAT116" s="1"/>
      <c r="NAU116" s="1"/>
      <c r="NAV116" s="1"/>
      <c r="NAW116" s="1"/>
      <c r="NAX116" s="1"/>
      <c r="NAY116" s="1"/>
      <c r="NAZ116" s="1"/>
      <c r="NBA116" s="1"/>
      <c r="NBB116" s="1"/>
      <c r="NBC116" s="1"/>
      <c r="NBD116" s="1"/>
      <c r="NBE116" s="1"/>
      <c r="NBF116" s="1"/>
      <c r="NBG116" s="1"/>
      <c r="NBH116" s="1"/>
      <c r="NBI116" s="1"/>
      <c r="NBJ116" s="1"/>
      <c r="NBK116" s="1"/>
      <c r="NBL116" s="1"/>
      <c r="NBM116" s="1"/>
      <c r="NBN116" s="1"/>
      <c r="NBO116" s="1"/>
      <c r="NBP116" s="1"/>
      <c r="NBQ116" s="1"/>
      <c r="NBR116" s="1"/>
      <c r="NBS116" s="1"/>
      <c r="NBT116" s="1"/>
      <c r="NBU116" s="1"/>
      <c r="NBV116" s="1"/>
      <c r="NBW116" s="1"/>
      <c r="NBX116" s="1"/>
      <c r="NBY116" s="1"/>
      <c r="NBZ116" s="1"/>
      <c r="NCA116" s="1"/>
      <c r="NCB116" s="1"/>
      <c r="NCC116" s="1"/>
      <c r="NCD116" s="1"/>
      <c r="NCE116" s="1"/>
      <c r="NCF116" s="1"/>
      <c r="NCG116" s="1"/>
      <c r="NCH116" s="1"/>
      <c r="NCI116" s="1"/>
      <c r="NCJ116" s="1"/>
      <c r="NCK116" s="1"/>
      <c r="NCL116" s="1"/>
      <c r="NCM116" s="1"/>
      <c r="NCN116" s="1"/>
      <c r="NCO116" s="1"/>
      <c r="NCP116" s="1"/>
      <c r="NCQ116" s="1"/>
      <c r="NCR116" s="1"/>
      <c r="NCS116" s="1"/>
      <c r="NCT116" s="1"/>
      <c r="NCU116" s="1"/>
      <c r="NCV116" s="1"/>
      <c r="NCW116" s="1"/>
      <c r="NCX116" s="1"/>
      <c r="NCY116" s="1"/>
      <c r="NCZ116" s="1"/>
      <c r="NDA116" s="1"/>
      <c r="NDB116" s="1"/>
      <c r="NDC116" s="1"/>
      <c r="NDD116" s="1"/>
      <c r="NDE116" s="1"/>
      <c r="NDF116" s="1"/>
      <c r="NDG116" s="1"/>
      <c r="NDH116" s="1"/>
      <c r="NDI116" s="1"/>
      <c r="NDJ116" s="1"/>
      <c r="NDK116" s="1"/>
      <c r="NDL116" s="1"/>
      <c r="NDM116" s="1"/>
      <c r="NDN116" s="1"/>
      <c r="NDO116" s="1"/>
      <c r="NDP116" s="1"/>
      <c r="NDQ116" s="1"/>
      <c r="NDR116" s="1"/>
      <c r="NDS116" s="1"/>
      <c r="NDT116" s="1"/>
      <c r="NDU116" s="1"/>
      <c r="NDV116" s="1"/>
      <c r="NDW116" s="1"/>
      <c r="NDX116" s="1"/>
      <c r="NDY116" s="1"/>
      <c r="NDZ116" s="1"/>
      <c r="NEA116" s="1"/>
      <c r="NEB116" s="1"/>
      <c r="NEC116" s="1"/>
      <c r="NED116" s="1"/>
      <c r="NEE116" s="1"/>
      <c r="NEF116" s="1"/>
      <c r="NEG116" s="1"/>
      <c r="NEH116" s="1"/>
      <c r="NEI116" s="1"/>
      <c r="NEJ116" s="1"/>
      <c r="NEK116" s="1"/>
      <c r="NEL116" s="1"/>
      <c r="NEM116" s="1"/>
      <c r="NEN116" s="1"/>
      <c r="NEO116" s="1"/>
      <c r="NEP116" s="1"/>
      <c r="NEQ116" s="1"/>
      <c r="NER116" s="1"/>
      <c r="NES116" s="1"/>
      <c r="NET116" s="1"/>
      <c r="NEU116" s="1"/>
      <c r="NEV116" s="1"/>
      <c r="NEW116" s="1"/>
      <c r="NEX116" s="1"/>
      <c r="NEY116" s="1"/>
      <c r="NEZ116" s="1"/>
      <c r="NFA116" s="1"/>
      <c r="NFB116" s="1"/>
      <c r="NFC116" s="1"/>
      <c r="NFD116" s="1"/>
      <c r="NFE116" s="1"/>
      <c r="NFF116" s="1"/>
      <c r="NFG116" s="1"/>
      <c r="NFH116" s="1"/>
      <c r="NFI116" s="1"/>
      <c r="NFJ116" s="1"/>
      <c r="NFK116" s="1"/>
      <c r="NFL116" s="1"/>
      <c r="NFM116" s="1"/>
      <c r="NFN116" s="1"/>
      <c r="NFO116" s="1"/>
      <c r="NFP116" s="1"/>
      <c r="NFQ116" s="1"/>
      <c r="NFR116" s="1"/>
      <c r="NFS116" s="1"/>
      <c r="NFT116" s="1"/>
      <c r="NFU116" s="1"/>
      <c r="NFV116" s="1"/>
      <c r="NFW116" s="1"/>
      <c r="NFX116" s="1"/>
      <c r="NFY116" s="1"/>
      <c r="NFZ116" s="1"/>
      <c r="NGA116" s="1"/>
      <c r="NGB116" s="1"/>
      <c r="NGC116" s="1"/>
      <c r="NGD116" s="1"/>
      <c r="NGE116" s="1"/>
      <c r="NGF116" s="1"/>
      <c r="NGG116" s="1"/>
      <c r="NGH116" s="1"/>
      <c r="NGI116" s="1"/>
      <c r="NGJ116" s="1"/>
      <c r="NGK116" s="1"/>
      <c r="NGL116" s="1"/>
      <c r="NGM116" s="1"/>
      <c r="NGN116" s="1"/>
      <c r="NGO116" s="1"/>
      <c r="NGP116" s="1"/>
      <c r="NGQ116" s="1"/>
      <c r="NGR116" s="1"/>
      <c r="NGS116" s="1"/>
      <c r="NGT116" s="1"/>
      <c r="NGU116" s="1"/>
      <c r="NGV116" s="1"/>
      <c r="NGW116" s="1"/>
      <c r="NGX116" s="1"/>
      <c r="NGY116" s="1"/>
      <c r="NGZ116" s="1"/>
      <c r="NHA116" s="1"/>
      <c r="NHB116" s="1"/>
      <c r="NHC116" s="1"/>
      <c r="NHD116" s="1"/>
      <c r="NHE116" s="1"/>
      <c r="NHF116" s="1"/>
      <c r="NHG116" s="1"/>
      <c r="NHH116" s="1"/>
      <c r="NHI116" s="1"/>
      <c r="NHJ116" s="1"/>
      <c r="NHK116" s="1"/>
      <c r="NHL116" s="1"/>
      <c r="NHM116" s="1"/>
      <c r="NHN116" s="1"/>
      <c r="NHO116" s="1"/>
      <c r="NHP116" s="1"/>
      <c r="NHQ116" s="1"/>
      <c r="NHR116" s="1"/>
      <c r="NHS116" s="1"/>
      <c r="NHT116" s="1"/>
      <c r="NHU116" s="1"/>
      <c r="NHV116" s="1"/>
      <c r="NHW116" s="1"/>
      <c r="NHX116" s="1"/>
      <c r="NHY116" s="1"/>
      <c r="NHZ116" s="1"/>
      <c r="NIA116" s="1"/>
      <c r="NIB116" s="1"/>
      <c r="NIC116" s="1"/>
      <c r="NID116" s="1"/>
      <c r="NIE116" s="1"/>
      <c r="NIF116" s="1"/>
      <c r="NIG116" s="1"/>
      <c r="NIH116" s="1"/>
      <c r="NII116" s="1"/>
      <c r="NIJ116" s="1"/>
      <c r="NIK116" s="1"/>
      <c r="NIL116" s="1"/>
      <c r="NIM116" s="1"/>
      <c r="NIN116" s="1"/>
      <c r="NIO116" s="1"/>
      <c r="NIP116" s="1"/>
      <c r="NIQ116" s="1"/>
      <c r="NIR116" s="1"/>
      <c r="NIS116" s="1"/>
      <c r="NIT116" s="1"/>
      <c r="NIU116" s="1"/>
      <c r="NIV116" s="1"/>
      <c r="NIW116" s="1"/>
      <c r="NIX116" s="1"/>
      <c r="NIY116" s="1"/>
      <c r="NIZ116" s="1"/>
      <c r="NJA116" s="1"/>
      <c r="NJB116" s="1"/>
      <c r="NJC116" s="1"/>
      <c r="NJD116" s="1"/>
      <c r="NJE116" s="1"/>
      <c r="NJF116" s="1"/>
      <c r="NJG116" s="1"/>
      <c r="NJH116" s="1"/>
      <c r="NJI116" s="1"/>
      <c r="NJJ116" s="1"/>
      <c r="NJK116" s="1"/>
      <c r="NJL116" s="1"/>
      <c r="NJM116" s="1"/>
      <c r="NJN116" s="1"/>
      <c r="NJO116" s="1"/>
      <c r="NJP116" s="1"/>
      <c r="NJQ116" s="1"/>
      <c r="NJR116" s="1"/>
      <c r="NJS116" s="1"/>
      <c r="NJT116" s="1"/>
      <c r="NJU116" s="1"/>
      <c r="NJV116" s="1"/>
      <c r="NJW116" s="1"/>
      <c r="NJX116" s="1"/>
      <c r="NJY116" s="1"/>
      <c r="NJZ116" s="1"/>
      <c r="NKA116" s="1"/>
      <c r="NKB116" s="1"/>
      <c r="NKC116" s="1"/>
      <c r="NKD116" s="1"/>
      <c r="NKE116" s="1"/>
      <c r="NKF116" s="1"/>
      <c r="NKG116" s="1"/>
      <c r="NKH116" s="1"/>
      <c r="NKI116" s="1"/>
      <c r="NKJ116" s="1"/>
      <c r="NKK116" s="1"/>
      <c r="NKL116" s="1"/>
      <c r="NKM116" s="1"/>
      <c r="NKN116" s="1"/>
      <c r="NKO116" s="1"/>
      <c r="NKP116" s="1"/>
      <c r="NKQ116" s="1"/>
      <c r="NKR116" s="1"/>
      <c r="NKS116" s="1"/>
      <c r="NKT116" s="1"/>
      <c r="NKU116" s="1"/>
      <c r="NKV116" s="1"/>
      <c r="NKW116" s="1"/>
      <c r="NKX116" s="1"/>
      <c r="NKY116" s="1"/>
      <c r="NKZ116" s="1"/>
      <c r="NLA116" s="1"/>
      <c r="NLB116" s="1"/>
      <c r="NLC116" s="1"/>
      <c r="NLD116" s="1"/>
      <c r="NLE116" s="1"/>
      <c r="NLF116" s="1"/>
      <c r="NLG116" s="1"/>
      <c r="NLH116" s="1"/>
      <c r="NLI116" s="1"/>
      <c r="NLJ116" s="1"/>
      <c r="NLK116" s="1"/>
      <c r="NLL116" s="1"/>
      <c r="NLM116" s="1"/>
      <c r="NLN116" s="1"/>
      <c r="NLO116" s="1"/>
      <c r="NLP116" s="1"/>
      <c r="NLQ116" s="1"/>
      <c r="NLR116" s="1"/>
      <c r="NLS116" s="1"/>
      <c r="NLT116" s="1"/>
      <c r="NLU116" s="1"/>
      <c r="NLV116" s="1"/>
      <c r="NLW116" s="1"/>
      <c r="NLX116" s="1"/>
      <c r="NLY116" s="1"/>
      <c r="NLZ116" s="1"/>
      <c r="NMA116" s="1"/>
      <c r="NMB116" s="1"/>
      <c r="NMC116" s="1"/>
      <c r="NMD116" s="1"/>
      <c r="NME116" s="1"/>
      <c r="NMF116" s="1"/>
      <c r="NMG116" s="1"/>
      <c r="NMH116" s="1"/>
      <c r="NMI116" s="1"/>
      <c r="NMJ116" s="1"/>
      <c r="NMK116" s="1"/>
      <c r="NML116" s="1"/>
      <c r="NMM116" s="1"/>
      <c r="NMN116" s="1"/>
      <c r="NMO116" s="1"/>
      <c r="NMP116" s="1"/>
      <c r="NMQ116" s="1"/>
      <c r="NMR116" s="1"/>
      <c r="NMS116" s="1"/>
      <c r="NMT116" s="1"/>
      <c r="NMU116" s="1"/>
      <c r="NMV116" s="1"/>
      <c r="NMW116" s="1"/>
      <c r="NMX116" s="1"/>
      <c r="NMY116" s="1"/>
      <c r="NMZ116" s="1"/>
      <c r="NNA116" s="1"/>
      <c r="NNB116" s="1"/>
      <c r="NNC116" s="1"/>
      <c r="NND116" s="1"/>
      <c r="NNE116" s="1"/>
      <c r="NNF116" s="1"/>
      <c r="NNG116" s="1"/>
      <c r="NNH116" s="1"/>
      <c r="NNI116" s="1"/>
      <c r="NNJ116" s="1"/>
      <c r="NNK116" s="1"/>
      <c r="NNL116" s="1"/>
      <c r="NNM116" s="1"/>
      <c r="NNN116" s="1"/>
      <c r="NNO116" s="1"/>
      <c r="NNP116" s="1"/>
      <c r="NNQ116" s="1"/>
      <c r="NNR116" s="1"/>
      <c r="NNS116" s="1"/>
      <c r="NNT116" s="1"/>
      <c r="NNU116" s="1"/>
      <c r="NNV116" s="1"/>
      <c r="NNW116" s="1"/>
      <c r="NNX116" s="1"/>
      <c r="NNY116" s="1"/>
      <c r="NNZ116" s="1"/>
      <c r="NOA116" s="1"/>
      <c r="NOB116" s="1"/>
      <c r="NOC116" s="1"/>
      <c r="NOD116" s="1"/>
      <c r="NOE116" s="1"/>
      <c r="NOF116" s="1"/>
      <c r="NOG116" s="1"/>
      <c r="NOH116" s="1"/>
      <c r="NOI116" s="1"/>
      <c r="NOJ116" s="1"/>
      <c r="NOK116" s="1"/>
      <c r="NOL116" s="1"/>
      <c r="NOM116" s="1"/>
      <c r="NON116" s="1"/>
      <c r="NOO116" s="1"/>
      <c r="NOP116" s="1"/>
      <c r="NOQ116" s="1"/>
      <c r="NOR116" s="1"/>
      <c r="NOS116" s="1"/>
      <c r="NOT116" s="1"/>
      <c r="NOU116" s="1"/>
      <c r="NOV116" s="1"/>
      <c r="NOW116" s="1"/>
      <c r="NOX116" s="1"/>
      <c r="NOY116" s="1"/>
      <c r="NOZ116" s="1"/>
      <c r="NPA116" s="1"/>
      <c r="NPB116" s="1"/>
      <c r="NPC116" s="1"/>
      <c r="NPD116" s="1"/>
      <c r="NPE116" s="1"/>
      <c r="NPF116" s="1"/>
      <c r="NPG116" s="1"/>
      <c r="NPH116" s="1"/>
      <c r="NPI116" s="1"/>
      <c r="NPJ116" s="1"/>
      <c r="NPK116" s="1"/>
      <c r="NPL116" s="1"/>
      <c r="NPM116" s="1"/>
      <c r="NPN116" s="1"/>
      <c r="NPO116" s="1"/>
      <c r="NPP116" s="1"/>
      <c r="NPQ116" s="1"/>
      <c r="NPR116" s="1"/>
      <c r="NPS116" s="1"/>
      <c r="NPT116" s="1"/>
      <c r="NPU116" s="1"/>
      <c r="NPV116" s="1"/>
      <c r="NPW116" s="1"/>
      <c r="NPX116" s="1"/>
      <c r="NPY116" s="1"/>
      <c r="NPZ116" s="1"/>
      <c r="NQA116" s="1"/>
      <c r="NQB116" s="1"/>
      <c r="NQC116" s="1"/>
      <c r="NQD116" s="1"/>
      <c r="NQE116" s="1"/>
      <c r="NQF116" s="1"/>
      <c r="NQG116" s="1"/>
      <c r="NQH116" s="1"/>
      <c r="NQI116" s="1"/>
      <c r="NQJ116" s="1"/>
      <c r="NQK116" s="1"/>
      <c r="NQL116" s="1"/>
      <c r="NQM116" s="1"/>
      <c r="NQN116" s="1"/>
      <c r="NQO116" s="1"/>
      <c r="NQP116" s="1"/>
      <c r="NQQ116" s="1"/>
      <c r="NQR116" s="1"/>
      <c r="NQS116" s="1"/>
      <c r="NQT116" s="1"/>
      <c r="NQU116" s="1"/>
      <c r="NQV116" s="1"/>
      <c r="NQW116" s="1"/>
      <c r="NQX116" s="1"/>
      <c r="NQY116" s="1"/>
      <c r="NQZ116" s="1"/>
      <c r="NRA116" s="1"/>
      <c r="NRB116" s="1"/>
      <c r="NRC116" s="1"/>
      <c r="NRD116" s="1"/>
      <c r="NRE116" s="1"/>
      <c r="NRF116" s="1"/>
      <c r="NRG116" s="1"/>
      <c r="NRH116" s="1"/>
      <c r="NRI116" s="1"/>
      <c r="NRJ116" s="1"/>
      <c r="NRK116" s="1"/>
      <c r="NRL116" s="1"/>
      <c r="NRM116" s="1"/>
      <c r="NRN116" s="1"/>
      <c r="NRO116" s="1"/>
      <c r="NRP116" s="1"/>
      <c r="NRQ116" s="1"/>
      <c r="NRR116" s="1"/>
      <c r="NRS116" s="1"/>
      <c r="NRT116" s="1"/>
      <c r="NRU116" s="1"/>
      <c r="NRV116" s="1"/>
      <c r="NRW116" s="1"/>
      <c r="NRX116" s="1"/>
      <c r="NRY116" s="1"/>
      <c r="NRZ116" s="1"/>
      <c r="NSA116" s="1"/>
      <c r="NSB116" s="1"/>
      <c r="NSC116" s="1"/>
      <c r="NSD116" s="1"/>
      <c r="NSE116" s="1"/>
      <c r="NSF116" s="1"/>
      <c r="NSG116" s="1"/>
      <c r="NSH116" s="1"/>
      <c r="NSI116" s="1"/>
      <c r="NSJ116" s="1"/>
      <c r="NSK116" s="1"/>
      <c r="NSL116" s="1"/>
      <c r="NSM116" s="1"/>
      <c r="NSN116" s="1"/>
      <c r="NSO116" s="1"/>
      <c r="NSP116" s="1"/>
      <c r="NSQ116" s="1"/>
      <c r="NSR116" s="1"/>
      <c r="NSS116" s="1"/>
      <c r="NST116" s="1"/>
      <c r="NSU116" s="1"/>
      <c r="NSV116" s="1"/>
      <c r="NSW116" s="1"/>
      <c r="NSX116" s="1"/>
      <c r="NSY116" s="1"/>
      <c r="NSZ116" s="1"/>
      <c r="NTA116" s="1"/>
      <c r="NTB116" s="1"/>
      <c r="NTC116" s="1"/>
      <c r="NTD116" s="1"/>
      <c r="NTE116" s="1"/>
      <c r="NTF116" s="1"/>
      <c r="NTG116" s="1"/>
      <c r="NTH116" s="1"/>
      <c r="NTI116" s="1"/>
      <c r="NTJ116" s="1"/>
      <c r="NTK116" s="1"/>
      <c r="NTL116" s="1"/>
      <c r="NTM116" s="1"/>
      <c r="NTN116" s="1"/>
      <c r="NTO116" s="1"/>
      <c r="NTP116" s="1"/>
      <c r="NTQ116" s="1"/>
      <c r="NTR116" s="1"/>
      <c r="NTS116" s="1"/>
      <c r="NTT116" s="1"/>
      <c r="NTU116" s="1"/>
      <c r="NTV116" s="1"/>
      <c r="NTW116" s="1"/>
      <c r="NTX116" s="1"/>
      <c r="NTY116" s="1"/>
      <c r="NTZ116" s="1"/>
      <c r="NUA116" s="1"/>
      <c r="NUB116" s="1"/>
      <c r="NUC116" s="1"/>
      <c r="NUD116" s="1"/>
      <c r="NUE116" s="1"/>
      <c r="NUF116" s="1"/>
      <c r="NUG116" s="1"/>
      <c r="NUH116" s="1"/>
      <c r="NUI116" s="1"/>
      <c r="NUJ116" s="1"/>
      <c r="NUK116" s="1"/>
      <c r="NUL116" s="1"/>
      <c r="NUM116" s="1"/>
      <c r="NUN116" s="1"/>
      <c r="NUO116" s="1"/>
      <c r="NUP116" s="1"/>
      <c r="NUQ116" s="1"/>
      <c r="NUR116" s="1"/>
      <c r="NUS116" s="1"/>
      <c r="NUT116" s="1"/>
      <c r="NUU116" s="1"/>
      <c r="NUV116" s="1"/>
      <c r="NUW116" s="1"/>
      <c r="NUX116" s="1"/>
      <c r="NUY116" s="1"/>
      <c r="NUZ116" s="1"/>
      <c r="NVA116" s="1"/>
      <c r="NVB116" s="1"/>
      <c r="NVC116" s="1"/>
      <c r="NVD116" s="1"/>
      <c r="NVE116" s="1"/>
      <c r="NVF116" s="1"/>
      <c r="NVG116" s="1"/>
      <c r="NVH116" s="1"/>
      <c r="NVI116" s="1"/>
      <c r="NVJ116" s="1"/>
      <c r="NVK116" s="1"/>
      <c r="NVL116" s="1"/>
      <c r="NVM116" s="1"/>
      <c r="NVN116" s="1"/>
      <c r="NVO116" s="1"/>
      <c r="NVP116" s="1"/>
      <c r="NVQ116" s="1"/>
      <c r="NVR116" s="1"/>
      <c r="NVS116" s="1"/>
      <c r="NVT116" s="1"/>
      <c r="NVU116" s="1"/>
      <c r="NVV116" s="1"/>
      <c r="NVW116" s="1"/>
      <c r="NVX116" s="1"/>
      <c r="NVY116" s="1"/>
      <c r="NVZ116" s="1"/>
      <c r="NWA116" s="1"/>
      <c r="NWB116" s="1"/>
      <c r="NWC116" s="1"/>
      <c r="NWD116" s="1"/>
      <c r="NWE116" s="1"/>
      <c r="NWF116" s="1"/>
      <c r="NWG116" s="1"/>
      <c r="NWH116" s="1"/>
      <c r="NWI116" s="1"/>
      <c r="NWJ116" s="1"/>
      <c r="NWK116" s="1"/>
      <c r="NWL116" s="1"/>
      <c r="NWM116" s="1"/>
      <c r="NWN116" s="1"/>
      <c r="NWO116" s="1"/>
      <c r="NWP116" s="1"/>
      <c r="NWQ116" s="1"/>
      <c r="NWR116" s="1"/>
      <c r="NWS116" s="1"/>
      <c r="NWT116" s="1"/>
      <c r="NWU116" s="1"/>
      <c r="NWV116" s="1"/>
      <c r="NWW116" s="1"/>
      <c r="NWX116" s="1"/>
      <c r="NWY116" s="1"/>
      <c r="NWZ116" s="1"/>
      <c r="NXA116" s="1"/>
      <c r="NXB116" s="1"/>
      <c r="NXC116" s="1"/>
      <c r="NXD116" s="1"/>
      <c r="NXE116" s="1"/>
      <c r="NXF116" s="1"/>
      <c r="NXG116" s="1"/>
      <c r="NXH116" s="1"/>
      <c r="NXI116" s="1"/>
      <c r="NXJ116" s="1"/>
      <c r="NXK116" s="1"/>
      <c r="NXL116" s="1"/>
      <c r="NXM116" s="1"/>
      <c r="NXN116" s="1"/>
      <c r="NXO116" s="1"/>
      <c r="NXP116" s="1"/>
      <c r="NXQ116" s="1"/>
      <c r="NXR116" s="1"/>
      <c r="NXS116" s="1"/>
      <c r="NXT116" s="1"/>
      <c r="NXU116" s="1"/>
      <c r="NXV116" s="1"/>
      <c r="NXW116" s="1"/>
      <c r="NXX116" s="1"/>
      <c r="NXY116" s="1"/>
      <c r="NXZ116" s="1"/>
      <c r="NYA116" s="1"/>
      <c r="NYB116" s="1"/>
      <c r="NYC116" s="1"/>
      <c r="NYD116" s="1"/>
      <c r="NYE116" s="1"/>
      <c r="NYF116" s="1"/>
      <c r="NYG116" s="1"/>
      <c r="NYH116" s="1"/>
      <c r="NYI116" s="1"/>
      <c r="NYJ116" s="1"/>
      <c r="NYK116" s="1"/>
      <c r="NYL116" s="1"/>
      <c r="NYM116" s="1"/>
      <c r="NYN116" s="1"/>
      <c r="NYO116" s="1"/>
      <c r="NYP116" s="1"/>
      <c r="NYQ116" s="1"/>
      <c r="NYR116" s="1"/>
      <c r="NYS116" s="1"/>
      <c r="NYT116" s="1"/>
      <c r="NYU116" s="1"/>
      <c r="NYV116" s="1"/>
      <c r="NYW116" s="1"/>
      <c r="NYX116" s="1"/>
      <c r="NYY116" s="1"/>
      <c r="NYZ116" s="1"/>
      <c r="NZA116" s="1"/>
      <c r="NZB116" s="1"/>
      <c r="NZC116" s="1"/>
      <c r="NZD116" s="1"/>
      <c r="NZE116" s="1"/>
      <c r="NZF116" s="1"/>
      <c r="NZG116" s="1"/>
      <c r="NZH116" s="1"/>
      <c r="NZI116" s="1"/>
      <c r="NZJ116" s="1"/>
      <c r="NZK116" s="1"/>
      <c r="NZL116" s="1"/>
      <c r="NZM116" s="1"/>
      <c r="NZN116" s="1"/>
      <c r="NZO116" s="1"/>
      <c r="NZP116" s="1"/>
      <c r="NZQ116" s="1"/>
      <c r="NZR116" s="1"/>
      <c r="NZS116" s="1"/>
      <c r="NZT116" s="1"/>
      <c r="NZU116" s="1"/>
      <c r="NZV116" s="1"/>
      <c r="NZW116" s="1"/>
      <c r="NZX116" s="1"/>
      <c r="NZY116" s="1"/>
      <c r="NZZ116" s="1"/>
      <c r="OAA116" s="1"/>
      <c r="OAB116" s="1"/>
      <c r="OAC116" s="1"/>
      <c r="OAD116" s="1"/>
      <c r="OAE116" s="1"/>
      <c r="OAF116" s="1"/>
      <c r="OAG116" s="1"/>
      <c r="OAH116" s="1"/>
      <c r="OAI116" s="1"/>
      <c r="OAJ116" s="1"/>
      <c r="OAK116" s="1"/>
      <c r="OAL116" s="1"/>
      <c r="OAM116" s="1"/>
      <c r="OAN116" s="1"/>
      <c r="OAO116" s="1"/>
      <c r="OAP116" s="1"/>
      <c r="OAQ116" s="1"/>
      <c r="OAR116" s="1"/>
      <c r="OAS116" s="1"/>
      <c r="OAT116" s="1"/>
      <c r="OAU116" s="1"/>
      <c r="OAV116" s="1"/>
      <c r="OAW116" s="1"/>
      <c r="OAX116" s="1"/>
      <c r="OAY116" s="1"/>
      <c r="OAZ116" s="1"/>
      <c r="OBA116" s="1"/>
      <c r="OBB116" s="1"/>
      <c r="OBC116" s="1"/>
      <c r="OBD116" s="1"/>
      <c r="OBE116" s="1"/>
      <c r="OBF116" s="1"/>
      <c r="OBG116" s="1"/>
      <c r="OBH116" s="1"/>
      <c r="OBI116" s="1"/>
      <c r="OBJ116" s="1"/>
      <c r="OBK116" s="1"/>
      <c r="OBL116" s="1"/>
      <c r="OBM116" s="1"/>
      <c r="OBN116" s="1"/>
      <c r="OBO116" s="1"/>
      <c r="OBP116" s="1"/>
      <c r="OBQ116" s="1"/>
      <c r="OBR116" s="1"/>
      <c r="OBS116" s="1"/>
      <c r="OBT116" s="1"/>
      <c r="OBU116" s="1"/>
      <c r="OBV116" s="1"/>
      <c r="OBW116" s="1"/>
      <c r="OBX116" s="1"/>
      <c r="OBY116" s="1"/>
      <c r="OBZ116" s="1"/>
      <c r="OCA116" s="1"/>
      <c r="OCB116" s="1"/>
      <c r="OCC116" s="1"/>
      <c r="OCD116" s="1"/>
      <c r="OCE116" s="1"/>
      <c r="OCF116" s="1"/>
      <c r="OCG116" s="1"/>
      <c r="OCH116" s="1"/>
      <c r="OCI116" s="1"/>
      <c r="OCJ116" s="1"/>
      <c r="OCK116" s="1"/>
      <c r="OCL116" s="1"/>
      <c r="OCM116" s="1"/>
      <c r="OCN116" s="1"/>
      <c r="OCO116" s="1"/>
      <c r="OCP116" s="1"/>
      <c r="OCQ116" s="1"/>
      <c r="OCR116" s="1"/>
      <c r="OCS116" s="1"/>
      <c r="OCT116" s="1"/>
      <c r="OCU116" s="1"/>
      <c r="OCV116" s="1"/>
      <c r="OCW116" s="1"/>
      <c r="OCX116" s="1"/>
      <c r="OCY116" s="1"/>
      <c r="OCZ116" s="1"/>
      <c r="ODA116" s="1"/>
      <c r="ODB116" s="1"/>
      <c r="ODC116" s="1"/>
      <c r="ODD116" s="1"/>
      <c r="ODE116" s="1"/>
      <c r="ODF116" s="1"/>
      <c r="ODG116" s="1"/>
      <c r="ODH116" s="1"/>
      <c r="ODI116" s="1"/>
      <c r="ODJ116" s="1"/>
      <c r="ODK116" s="1"/>
      <c r="ODL116" s="1"/>
      <c r="ODM116" s="1"/>
      <c r="ODN116" s="1"/>
      <c r="ODO116" s="1"/>
      <c r="ODP116" s="1"/>
      <c r="ODQ116" s="1"/>
      <c r="ODR116" s="1"/>
      <c r="ODS116" s="1"/>
      <c r="ODT116" s="1"/>
      <c r="ODU116" s="1"/>
      <c r="ODV116" s="1"/>
      <c r="ODW116" s="1"/>
      <c r="ODX116" s="1"/>
      <c r="ODY116" s="1"/>
      <c r="ODZ116" s="1"/>
      <c r="OEA116" s="1"/>
      <c r="OEB116" s="1"/>
      <c r="OEC116" s="1"/>
      <c r="OED116" s="1"/>
      <c r="OEE116" s="1"/>
      <c r="OEF116" s="1"/>
      <c r="OEG116" s="1"/>
      <c r="OEH116" s="1"/>
      <c r="OEI116" s="1"/>
      <c r="OEJ116" s="1"/>
      <c r="OEK116" s="1"/>
      <c r="OEL116" s="1"/>
      <c r="OEM116" s="1"/>
      <c r="OEN116" s="1"/>
      <c r="OEO116" s="1"/>
      <c r="OEP116" s="1"/>
      <c r="OEQ116" s="1"/>
      <c r="OER116" s="1"/>
      <c r="OES116" s="1"/>
      <c r="OET116" s="1"/>
      <c r="OEU116" s="1"/>
      <c r="OEV116" s="1"/>
      <c r="OEW116" s="1"/>
      <c r="OEX116" s="1"/>
      <c r="OEY116" s="1"/>
      <c r="OEZ116" s="1"/>
      <c r="OFA116" s="1"/>
      <c r="OFB116" s="1"/>
      <c r="OFC116" s="1"/>
      <c r="OFD116" s="1"/>
      <c r="OFE116" s="1"/>
      <c r="OFF116" s="1"/>
      <c r="OFG116" s="1"/>
      <c r="OFH116" s="1"/>
      <c r="OFI116" s="1"/>
      <c r="OFJ116" s="1"/>
      <c r="OFK116" s="1"/>
      <c r="OFL116" s="1"/>
      <c r="OFM116" s="1"/>
      <c r="OFN116" s="1"/>
      <c r="OFO116" s="1"/>
      <c r="OFP116" s="1"/>
      <c r="OFQ116" s="1"/>
      <c r="OFR116" s="1"/>
      <c r="OFS116" s="1"/>
      <c r="OFT116" s="1"/>
      <c r="OFU116" s="1"/>
      <c r="OFV116" s="1"/>
      <c r="OFW116" s="1"/>
      <c r="OFX116" s="1"/>
      <c r="OFY116" s="1"/>
      <c r="OFZ116" s="1"/>
      <c r="OGA116" s="1"/>
      <c r="OGB116" s="1"/>
      <c r="OGC116" s="1"/>
      <c r="OGD116" s="1"/>
      <c r="OGE116" s="1"/>
      <c r="OGF116" s="1"/>
      <c r="OGG116" s="1"/>
      <c r="OGH116" s="1"/>
      <c r="OGI116" s="1"/>
      <c r="OGJ116" s="1"/>
      <c r="OGK116" s="1"/>
      <c r="OGL116" s="1"/>
      <c r="OGM116" s="1"/>
      <c r="OGN116" s="1"/>
      <c r="OGO116" s="1"/>
      <c r="OGP116" s="1"/>
      <c r="OGQ116" s="1"/>
      <c r="OGR116" s="1"/>
      <c r="OGS116" s="1"/>
      <c r="OGT116" s="1"/>
      <c r="OGU116" s="1"/>
      <c r="OGV116" s="1"/>
      <c r="OGW116" s="1"/>
      <c r="OGX116" s="1"/>
      <c r="OGY116" s="1"/>
      <c r="OGZ116" s="1"/>
      <c r="OHA116" s="1"/>
      <c r="OHB116" s="1"/>
      <c r="OHC116" s="1"/>
      <c r="OHD116" s="1"/>
      <c r="OHE116" s="1"/>
      <c r="OHF116" s="1"/>
      <c r="OHG116" s="1"/>
      <c r="OHH116" s="1"/>
      <c r="OHI116" s="1"/>
      <c r="OHJ116" s="1"/>
      <c r="OHK116" s="1"/>
      <c r="OHL116" s="1"/>
      <c r="OHM116" s="1"/>
      <c r="OHN116" s="1"/>
      <c r="OHO116" s="1"/>
      <c r="OHP116" s="1"/>
      <c r="OHQ116" s="1"/>
      <c r="OHR116" s="1"/>
      <c r="OHS116" s="1"/>
      <c r="OHT116" s="1"/>
      <c r="OHU116" s="1"/>
      <c r="OHV116" s="1"/>
      <c r="OHW116" s="1"/>
      <c r="OHX116" s="1"/>
      <c r="OHY116" s="1"/>
      <c r="OHZ116" s="1"/>
      <c r="OIA116" s="1"/>
      <c r="OIB116" s="1"/>
      <c r="OIC116" s="1"/>
      <c r="OID116" s="1"/>
      <c r="OIE116" s="1"/>
      <c r="OIF116" s="1"/>
      <c r="OIG116" s="1"/>
      <c r="OIH116" s="1"/>
      <c r="OII116" s="1"/>
      <c r="OIJ116" s="1"/>
      <c r="OIK116" s="1"/>
      <c r="OIL116" s="1"/>
      <c r="OIM116" s="1"/>
      <c r="OIN116" s="1"/>
      <c r="OIO116" s="1"/>
      <c r="OIP116" s="1"/>
      <c r="OIQ116" s="1"/>
      <c r="OIR116" s="1"/>
      <c r="OIS116" s="1"/>
      <c r="OIT116" s="1"/>
      <c r="OIU116" s="1"/>
      <c r="OIV116" s="1"/>
      <c r="OIW116" s="1"/>
      <c r="OIX116" s="1"/>
      <c r="OIY116" s="1"/>
      <c r="OIZ116" s="1"/>
      <c r="OJA116" s="1"/>
      <c r="OJB116" s="1"/>
      <c r="OJC116" s="1"/>
      <c r="OJD116" s="1"/>
      <c r="OJE116" s="1"/>
      <c r="OJF116" s="1"/>
      <c r="OJG116" s="1"/>
      <c r="OJH116" s="1"/>
      <c r="OJI116" s="1"/>
      <c r="OJJ116" s="1"/>
      <c r="OJK116" s="1"/>
      <c r="OJL116" s="1"/>
      <c r="OJM116" s="1"/>
      <c r="OJN116" s="1"/>
      <c r="OJO116" s="1"/>
      <c r="OJP116" s="1"/>
      <c r="OJQ116" s="1"/>
      <c r="OJR116" s="1"/>
      <c r="OJS116" s="1"/>
      <c r="OJT116" s="1"/>
      <c r="OJU116" s="1"/>
      <c r="OJV116" s="1"/>
      <c r="OJW116" s="1"/>
      <c r="OJX116" s="1"/>
      <c r="OJY116" s="1"/>
      <c r="OJZ116" s="1"/>
      <c r="OKA116" s="1"/>
      <c r="OKB116" s="1"/>
      <c r="OKC116" s="1"/>
      <c r="OKD116" s="1"/>
      <c r="OKE116" s="1"/>
      <c r="OKF116" s="1"/>
      <c r="OKG116" s="1"/>
      <c r="OKH116" s="1"/>
      <c r="OKI116" s="1"/>
      <c r="OKJ116" s="1"/>
      <c r="OKK116" s="1"/>
      <c r="OKL116" s="1"/>
      <c r="OKM116" s="1"/>
      <c r="OKN116" s="1"/>
      <c r="OKO116" s="1"/>
      <c r="OKP116" s="1"/>
      <c r="OKQ116" s="1"/>
      <c r="OKR116" s="1"/>
      <c r="OKS116" s="1"/>
      <c r="OKT116" s="1"/>
      <c r="OKU116" s="1"/>
      <c r="OKV116" s="1"/>
      <c r="OKW116" s="1"/>
      <c r="OKX116" s="1"/>
      <c r="OKY116" s="1"/>
      <c r="OKZ116" s="1"/>
      <c r="OLA116" s="1"/>
      <c r="OLB116" s="1"/>
      <c r="OLC116" s="1"/>
      <c r="OLD116" s="1"/>
      <c r="OLE116" s="1"/>
      <c r="OLF116" s="1"/>
      <c r="OLG116" s="1"/>
      <c r="OLH116" s="1"/>
      <c r="OLI116" s="1"/>
      <c r="OLJ116" s="1"/>
      <c r="OLK116" s="1"/>
      <c r="OLL116" s="1"/>
      <c r="OLM116" s="1"/>
      <c r="OLN116" s="1"/>
      <c r="OLO116" s="1"/>
      <c r="OLP116" s="1"/>
      <c r="OLQ116" s="1"/>
      <c r="OLR116" s="1"/>
      <c r="OLS116" s="1"/>
      <c r="OLT116" s="1"/>
      <c r="OLU116" s="1"/>
      <c r="OLV116" s="1"/>
      <c r="OLW116" s="1"/>
      <c r="OLX116" s="1"/>
      <c r="OLY116" s="1"/>
      <c r="OLZ116" s="1"/>
      <c r="OMA116" s="1"/>
      <c r="OMB116" s="1"/>
      <c r="OMC116" s="1"/>
      <c r="OMD116" s="1"/>
      <c r="OME116" s="1"/>
      <c r="OMF116" s="1"/>
      <c r="OMG116" s="1"/>
      <c r="OMH116" s="1"/>
      <c r="OMI116" s="1"/>
      <c r="OMJ116" s="1"/>
      <c r="OMK116" s="1"/>
      <c r="OML116" s="1"/>
      <c r="OMM116" s="1"/>
      <c r="OMN116" s="1"/>
      <c r="OMO116" s="1"/>
      <c r="OMP116" s="1"/>
      <c r="OMQ116" s="1"/>
      <c r="OMR116" s="1"/>
      <c r="OMS116" s="1"/>
      <c r="OMT116" s="1"/>
      <c r="OMU116" s="1"/>
      <c r="OMV116" s="1"/>
      <c r="OMW116" s="1"/>
      <c r="OMX116" s="1"/>
      <c r="OMY116" s="1"/>
      <c r="OMZ116" s="1"/>
      <c r="ONA116" s="1"/>
      <c r="ONB116" s="1"/>
      <c r="ONC116" s="1"/>
      <c r="OND116" s="1"/>
      <c r="ONE116" s="1"/>
      <c r="ONF116" s="1"/>
      <c r="ONG116" s="1"/>
      <c r="ONH116" s="1"/>
      <c r="ONI116" s="1"/>
      <c r="ONJ116" s="1"/>
      <c r="ONK116" s="1"/>
      <c r="ONL116" s="1"/>
      <c r="ONM116" s="1"/>
      <c r="ONN116" s="1"/>
      <c r="ONO116" s="1"/>
      <c r="ONP116" s="1"/>
      <c r="ONQ116" s="1"/>
      <c r="ONR116" s="1"/>
      <c r="ONS116" s="1"/>
      <c r="ONT116" s="1"/>
      <c r="ONU116" s="1"/>
      <c r="ONV116" s="1"/>
      <c r="ONW116" s="1"/>
      <c r="ONX116" s="1"/>
      <c r="ONY116" s="1"/>
      <c r="ONZ116" s="1"/>
      <c r="OOA116" s="1"/>
      <c r="OOB116" s="1"/>
      <c r="OOC116" s="1"/>
      <c r="OOD116" s="1"/>
      <c r="OOE116" s="1"/>
      <c r="OOF116" s="1"/>
      <c r="OOG116" s="1"/>
      <c r="OOH116" s="1"/>
      <c r="OOI116" s="1"/>
      <c r="OOJ116" s="1"/>
      <c r="OOK116" s="1"/>
      <c r="OOL116" s="1"/>
      <c r="OOM116" s="1"/>
      <c r="OON116" s="1"/>
      <c r="OOO116" s="1"/>
      <c r="OOP116" s="1"/>
      <c r="OOQ116" s="1"/>
      <c r="OOR116" s="1"/>
      <c r="OOS116" s="1"/>
      <c r="OOT116" s="1"/>
      <c r="OOU116" s="1"/>
      <c r="OOV116" s="1"/>
      <c r="OOW116" s="1"/>
      <c r="OOX116" s="1"/>
      <c r="OOY116" s="1"/>
      <c r="OOZ116" s="1"/>
      <c r="OPA116" s="1"/>
      <c r="OPB116" s="1"/>
      <c r="OPC116" s="1"/>
      <c r="OPD116" s="1"/>
      <c r="OPE116" s="1"/>
      <c r="OPF116" s="1"/>
      <c r="OPG116" s="1"/>
      <c r="OPH116" s="1"/>
      <c r="OPI116" s="1"/>
      <c r="OPJ116" s="1"/>
      <c r="OPK116" s="1"/>
      <c r="OPL116" s="1"/>
      <c r="OPM116" s="1"/>
      <c r="OPN116" s="1"/>
      <c r="OPO116" s="1"/>
      <c r="OPP116" s="1"/>
      <c r="OPQ116" s="1"/>
      <c r="OPR116" s="1"/>
      <c r="OPS116" s="1"/>
      <c r="OPT116" s="1"/>
      <c r="OPU116" s="1"/>
      <c r="OPV116" s="1"/>
      <c r="OPW116" s="1"/>
      <c r="OPX116" s="1"/>
      <c r="OPY116" s="1"/>
      <c r="OPZ116" s="1"/>
      <c r="OQA116" s="1"/>
      <c r="OQB116" s="1"/>
      <c r="OQC116" s="1"/>
      <c r="OQD116" s="1"/>
      <c r="OQE116" s="1"/>
      <c r="OQF116" s="1"/>
      <c r="OQG116" s="1"/>
      <c r="OQH116" s="1"/>
      <c r="OQI116" s="1"/>
      <c r="OQJ116" s="1"/>
      <c r="OQK116" s="1"/>
      <c r="OQL116" s="1"/>
      <c r="OQM116" s="1"/>
      <c r="OQN116" s="1"/>
      <c r="OQO116" s="1"/>
      <c r="OQP116" s="1"/>
      <c r="OQQ116" s="1"/>
      <c r="OQR116" s="1"/>
      <c r="OQS116" s="1"/>
      <c r="OQT116" s="1"/>
      <c r="OQU116" s="1"/>
      <c r="OQV116" s="1"/>
      <c r="OQW116" s="1"/>
      <c r="OQX116" s="1"/>
      <c r="OQY116" s="1"/>
      <c r="OQZ116" s="1"/>
      <c r="ORA116" s="1"/>
      <c r="ORB116" s="1"/>
      <c r="ORC116" s="1"/>
      <c r="ORD116" s="1"/>
      <c r="ORE116" s="1"/>
      <c r="ORF116" s="1"/>
      <c r="ORG116" s="1"/>
      <c r="ORH116" s="1"/>
      <c r="ORI116" s="1"/>
      <c r="ORJ116" s="1"/>
      <c r="ORK116" s="1"/>
      <c r="ORL116" s="1"/>
      <c r="ORM116" s="1"/>
      <c r="ORN116" s="1"/>
      <c r="ORO116" s="1"/>
      <c r="ORP116" s="1"/>
      <c r="ORQ116" s="1"/>
      <c r="ORR116" s="1"/>
      <c r="ORS116" s="1"/>
      <c r="ORT116" s="1"/>
      <c r="ORU116" s="1"/>
      <c r="ORV116" s="1"/>
      <c r="ORW116" s="1"/>
      <c r="ORX116" s="1"/>
      <c r="ORY116" s="1"/>
      <c r="ORZ116" s="1"/>
      <c r="OSA116" s="1"/>
      <c r="OSB116" s="1"/>
      <c r="OSC116" s="1"/>
      <c r="OSD116" s="1"/>
      <c r="OSE116" s="1"/>
      <c r="OSF116" s="1"/>
      <c r="OSG116" s="1"/>
      <c r="OSH116" s="1"/>
      <c r="OSI116" s="1"/>
      <c r="OSJ116" s="1"/>
      <c r="OSK116" s="1"/>
      <c r="OSL116" s="1"/>
      <c r="OSM116" s="1"/>
      <c r="OSN116" s="1"/>
      <c r="OSO116" s="1"/>
      <c r="OSP116" s="1"/>
      <c r="OSQ116" s="1"/>
      <c r="OSR116" s="1"/>
      <c r="OSS116" s="1"/>
      <c r="OST116" s="1"/>
      <c r="OSU116" s="1"/>
      <c r="OSV116" s="1"/>
      <c r="OSW116" s="1"/>
      <c r="OSX116" s="1"/>
      <c r="OSY116" s="1"/>
      <c r="OSZ116" s="1"/>
      <c r="OTA116" s="1"/>
      <c r="OTB116" s="1"/>
      <c r="OTC116" s="1"/>
      <c r="OTD116" s="1"/>
      <c r="OTE116" s="1"/>
      <c r="OTF116" s="1"/>
      <c r="OTG116" s="1"/>
      <c r="OTH116" s="1"/>
      <c r="OTI116" s="1"/>
      <c r="OTJ116" s="1"/>
      <c r="OTK116" s="1"/>
      <c r="OTL116" s="1"/>
      <c r="OTM116" s="1"/>
      <c r="OTN116" s="1"/>
      <c r="OTO116" s="1"/>
      <c r="OTP116" s="1"/>
      <c r="OTQ116" s="1"/>
      <c r="OTR116" s="1"/>
      <c r="OTS116" s="1"/>
      <c r="OTT116" s="1"/>
      <c r="OTU116" s="1"/>
      <c r="OTV116" s="1"/>
      <c r="OTW116" s="1"/>
      <c r="OTX116" s="1"/>
      <c r="OTY116" s="1"/>
      <c r="OTZ116" s="1"/>
      <c r="OUA116" s="1"/>
      <c r="OUB116" s="1"/>
      <c r="OUC116" s="1"/>
      <c r="OUD116" s="1"/>
      <c r="OUE116" s="1"/>
      <c r="OUF116" s="1"/>
      <c r="OUG116" s="1"/>
      <c r="OUH116" s="1"/>
      <c r="OUI116" s="1"/>
      <c r="OUJ116" s="1"/>
      <c r="OUK116" s="1"/>
      <c r="OUL116" s="1"/>
      <c r="OUM116" s="1"/>
      <c r="OUN116" s="1"/>
      <c r="OUO116" s="1"/>
      <c r="OUP116" s="1"/>
      <c r="OUQ116" s="1"/>
      <c r="OUR116" s="1"/>
      <c r="OUS116" s="1"/>
      <c r="OUT116" s="1"/>
      <c r="OUU116" s="1"/>
      <c r="OUV116" s="1"/>
      <c r="OUW116" s="1"/>
      <c r="OUX116" s="1"/>
      <c r="OUY116" s="1"/>
      <c r="OUZ116" s="1"/>
      <c r="OVA116" s="1"/>
      <c r="OVB116" s="1"/>
      <c r="OVC116" s="1"/>
      <c r="OVD116" s="1"/>
      <c r="OVE116" s="1"/>
      <c r="OVF116" s="1"/>
      <c r="OVG116" s="1"/>
      <c r="OVH116" s="1"/>
      <c r="OVI116" s="1"/>
      <c r="OVJ116" s="1"/>
      <c r="OVK116" s="1"/>
      <c r="OVL116" s="1"/>
      <c r="OVM116" s="1"/>
      <c r="OVN116" s="1"/>
      <c r="OVO116" s="1"/>
      <c r="OVP116" s="1"/>
      <c r="OVQ116" s="1"/>
      <c r="OVR116" s="1"/>
      <c r="OVS116" s="1"/>
      <c r="OVT116" s="1"/>
      <c r="OVU116" s="1"/>
      <c r="OVV116" s="1"/>
      <c r="OVW116" s="1"/>
      <c r="OVX116" s="1"/>
      <c r="OVY116" s="1"/>
      <c r="OVZ116" s="1"/>
      <c r="OWA116" s="1"/>
      <c r="OWB116" s="1"/>
      <c r="OWC116" s="1"/>
      <c r="OWD116" s="1"/>
      <c r="OWE116" s="1"/>
      <c r="OWF116" s="1"/>
      <c r="OWG116" s="1"/>
      <c r="OWH116" s="1"/>
      <c r="OWI116" s="1"/>
      <c r="OWJ116" s="1"/>
      <c r="OWK116" s="1"/>
      <c r="OWL116" s="1"/>
      <c r="OWM116" s="1"/>
      <c r="OWN116" s="1"/>
      <c r="OWO116" s="1"/>
      <c r="OWP116" s="1"/>
      <c r="OWQ116" s="1"/>
      <c r="OWR116" s="1"/>
      <c r="OWS116" s="1"/>
      <c r="OWT116" s="1"/>
      <c r="OWU116" s="1"/>
      <c r="OWV116" s="1"/>
      <c r="OWW116" s="1"/>
      <c r="OWX116" s="1"/>
      <c r="OWY116" s="1"/>
      <c r="OWZ116" s="1"/>
      <c r="OXA116" s="1"/>
      <c r="OXB116" s="1"/>
      <c r="OXC116" s="1"/>
      <c r="OXD116" s="1"/>
      <c r="OXE116" s="1"/>
      <c r="OXF116" s="1"/>
      <c r="OXG116" s="1"/>
      <c r="OXH116" s="1"/>
      <c r="OXI116" s="1"/>
      <c r="OXJ116" s="1"/>
      <c r="OXK116" s="1"/>
      <c r="OXL116" s="1"/>
      <c r="OXM116" s="1"/>
      <c r="OXN116" s="1"/>
      <c r="OXO116" s="1"/>
      <c r="OXP116" s="1"/>
      <c r="OXQ116" s="1"/>
      <c r="OXR116" s="1"/>
      <c r="OXS116" s="1"/>
      <c r="OXT116" s="1"/>
      <c r="OXU116" s="1"/>
      <c r="OXV116" s="1"/>
      <c r="OXW116" s="1"/>
      <c r="OXX116" s="1"/>
      <c r="OXY116" s="1"/>
      <c r="OXZ116" s="1"/>
      <c r="OYA116" s="1"/>
      <c r="OYB116" s="1"/>
      <c r="OYC116" s="1"/>
      <c r="OYD116" s="1"/>
      <c r="OYE116" s="1"/>
      <c r="OYF116" s="1"/>
      <c r="OYG116" s="1"/>
      <c r="OYH116" s="1"/>
      <c r="OYI116" s="1"/>
      <c r="OYJ116" s="1"/>
      <c r="OYK116" s="1"/>
      <c r="OYL116" s="1"/>
      <c r="OYM116" s="1"/>
      <c r="OYN116" s="1"/>
      <c r="OYO116" s="1"/>
      <c r="OYP116" s="1"/>
      <c r="OYQ116" s="1"/>
      <c r="OYR116" s="1"/>
      <c r="OYS116" s="1"/>
      <c r="OYT116" s="1"/>
      <c r="OYU116" s="1"/>
      <c r="OYV116" s="1"/>
      <c r="OYW116" s="1"/>
      <c r="OYX116" s="1"/>
      <c r="OYY116" s="1"/>
      <c r="OYZ116" s="1"/>
      <c r="OZA116" s="1"/>
      <c r="OZB116" s="1"/>
      <c r="OZC116" s="1"/>
      <c r="OZD116" s="1"/>
      <c r="OZE116" s="1"/>
      <c r="OZF116" s="1"/>
      <c r="OZG116" s="1"/>
      <c r="OZH116" s="1"/>
      <c r="OZI116" s="1"/>
      <c r="OZJ116" s="1"/>
      <c r="OZK116" s="1"/>
      <c r="OZL116" s="1"/>
      <c r="OZM116" s="1"/>
      <c r="OZN116" s="1"/>
      <c r="OZO116" s="1"/>
      <c r="OZP116" s="1"/>
      <c r="OZQ116" s="1"/>
      <c r="OZR116" s="1"/>
      <c r="OZS116" s="1"/>
      <c r="OZT116" s="1"/>
      <c r="OZU116" s="1"/>
      <c r="OZV116" s="1"/>
      <c r="OZW116" s="1"/>
      <c r="OZX116" s="1"/>
      <c r="OZY116" s="1"/>
      <c r="OZZ116" s="1"/>
      <c r="PAA116" s="1"/>
      <c r="PAB116" s="1"/>
      <c r="PAC116" s="1"/>
      <c r="PAD116" s="1"/>
      <c r="PAE116" s="1"/>
      <c r="PAF116" s="1"/>
      <c r="PAG116" s="1"/>
      <c r="PAH116" s="1"/>
      <c r="PAI116" s="1"/>
      <c r="PAJ116" s="1"/>
      <c r="PAK116" s="1"/>
      <c r="PAL116" s="1"/>
      <c r="PAM116" s="1"/>
      <c r="PAN116" s="1"/>
      <c r="PAO116" s="1"/>
      <c r="PAP116" s="1"/>
      <c r="PAQ116" s="1"/>
      <c r="PAR116" s="1"/>
      <c r="PAS116" s="1"/>
      <c r="PAT116" s="1"/>
      <c r="PAU116" s="1"/>
      <c r="PAV116" s="1"/>
      <c r="PAW116" s="1"/>
      <c r="PAX116" s="1"/>
      <c r="PAY116" s="1"/>
      <c r="PAZ116" s="1"/>
      <c r="PBA116" s="1"/>
      <c r="PBB116" s="1"/>
      <c r="PBC116" s="1"/>
      <c r="PBD116" s="1"/>
      <c r="PBE116" s="1"/>
      <c r="PBF116" s="1"/>
      <c r="PBG116" s="1"/>
      <c r="PBH116" s="1"/>
      <c r="PBI116" s="1"/>
      <c r="PBJ116" s="1"/>
      <c r="PBK116" s="1"/>
      <c r="PBL116" s="1"/>
      <c r="PBM116" s="1"/>
      <c r="PBN116" s="1"/>
      <c r="PBO116" s="1"/>
      <c r="PBP116" s="1"/>
      <c r="PBQ116" s="1"/>
      <c r="PBR116" s="1"/>
      <c r="PBS116" s="1"/>
      <c r="PBT116" s="1"/>
      <c r="PBU116" s="1"/>
      <c r="PBV116" s="1"/>
      <c r="PBW116" s="1"/>
      <c r="PBX116" s="1"/>
      <c r="PBY116" s="1"/>
      <c r="PBZ116" s="1"/>
      <c r="PCA116" s="1"/>
      <c r="PCB116" s="1"/>
      <c r="PCC116" s="1"/>
      <c r="PCD116" s="1"/>
      <c r="PCE116" s="1"/>
      <c r="PCF116" s="1"/>
      <c r="PCG116" s="1"/>
      <c r="PCH116" s="1"/>
      <c r="PCI116" s="1"/>
      <c r="PCJ116" s="1"/>
      <c r="PCK116" s="1"/>
      <c r="PCL116" s="1"/>
      <c r="PCM116" s="1"/>
      <c r="PCN116" s="1"/>
      <c r="PCO116" s="1"/>
      <c r="PCP116" s="1"/>
      <c r="PCQ116" s="1"/>
      <c r="PCR116" s="1"/>
      <c r="PCS116" s="1"/>
      <c r="PCT116" s="1"/>
      <c r="PCU116" s="1"/>
      <c r="PCV116" s="1"/>
      <c r="PCW116" s="1"/>
      <c r="PCX116" s="1"/>
      <c r="PCY116" s="1"/>
      <c r="PCZ116" s="1"/>
      <c r="PDA116" s="1"/>
      <c r="PDB116" s="1"/>
      <c r="PDC116" s="1"/>
      <c r="PDD116" s="1"/>
      <c r="PDE116" s="1"/>
      <c r="PDF116" s="1"/>
      <c r="PDG116" s="1"/>
      <c r="PDH116" s="1"/>
      <c r="PDI116" s="1"/>
      <c r="PDJ116" s="1"/>
      <c r="PDK116" s="1"/>
      <c r="PDL116" s="1"/>
      <c r="PDM116" s="1"/>
      <c r="PDN116" s="1"/>
      <c r="PDO116" s="1"/>
      <c r="PDP116" s="1"/>
      <c r="PDQ116" s="1"/>
      <c r="PDR116" s="1"/>
      <c r="PDS116" s="1"/>
      <c r="PDT116" s="1"/>
      <c r="PDU116" s="1"/>
      <c r="PDV116" s="1"/>
      <c r="PDW116" s="1"/>
      <c r="PDX116" s="1"/>
      <c r="PDY116" s="1"/>
      <c r="PDZ116" s="1"/>
      <c r="PEA116" s="1"/>
      <c r="PEB116" s="1"/>
      <c r="PEC116" s="1"/>
      <c r="PED116" s="1"/>
      <c r="PEE116" s="1"/>
      <c r="PEF116" s="1"/>
      <c r="PEG116" s="1"/>
      <c r="PEH116" s="1"/>
      <c r="PEI116" s="1"/>
      <c r="PEJ116" s="1"/>
      <c r="PEK116" s="1"/>
      <c r="PEL116" s="1"/>
      <c r="PEM116" s="1"/>
      <c r="PEN116" s="1"/>
      <c r="PEO116" s="1"/>
      <c r="PEP116" s="1"/>
      <c r="PEQ116" s="1"/>
      <c r="PER116" s="1"/>
      <c r="PES116" s="1"/>
      <c r="PET116" s="1"/>
      <c r="PEU116" s="1"/>
      <c r="PEV116" s="1"/>
      <c r="PEW116" s="1"/>
      <c r="PEX116" s="1"/>
      <c r="PEY116" s="1"/>
      <c r="PEZ116" s="1"/>
      <c r="PFA116" s="1"/>
      <c r="PFB116" s="1"/>
      <c r="PFC116" s="1"/>
      <c r="PFD116" s="1"/>
      <c r="PFE116" s="1"/>
      <c r="PFF116" s="1"/>
      <c r="PFG116" s="1"/>
      <c r="PFH116" s="1"/>
      <c r="PFI116" s="1"/>
      <c r="PFJ116" s="1"/>
      <c r="PFK116" s="1"/>
      <c r="PFL116" s="1"/>
      <c r="PFM116" s="1"/>
      <c r="PFN116" s="1"/>
      <c r="PFO116" s="1"/>
      <c r="PFP116" s="1"/>
      <c r="PFQ116" s="1"/>
      <c r="PFR116" s="1"/>
      <c r="PFS116" s="1"/>
      <c r="PFT116" s="1"/>
      <c r="PFU116" s="1"/>
      <c r="PFV116" s="1"/>
      <c r="PFW116" s="1"/>
      <c r="PFX116" s="1"/>
      <c r="PFY116" s="1"/>
      <c r="PFZ116" s="1"/>
      <c r="PGA116" s="1"/>
      <c r="PGB116" s="1"/>
      <c r="PGC116" s="1"/>
      <c r="PGD116" s="1"/>
      <c r="PGE116" s="1"/>
      <c r="PGF116" s="1"/>
      <c r="PGG116" s="1"/>
      <c r="PGH116" s="1"/>
      <c r="PGI116" s="1"/>
      <c r="PGJ116" s="1"/>
      <c r="PGK116" s="1"/>
      <c r="PGL116" s="1"/>
      <c r="PGM116" s="1"/>
      <c r="PGN116" s="1"/>
      <c r="PGO116" s="1"/>
      <c r="PGP116" s="1"/>
      <c r="PGQ116" s="1"/>
      <c r="PGR116" s="1"/>
      <c r="PGS116" s="1"/>
      <c r="PGT116" s="1"/>
      <c r="PGU116" s="1"/>
      <c r="PGV116" s="1"/>
      <c r="PGW116" s="1"/>
      <c r="PGX116" s="1"/>
      <c r="PGY116" s="1"/>
      <c r="PGZ116" s="1"/>
      <c r="PHA116" s="1"/>
      <c r="PHB116" s="1"/>
      <c r="PHC116" s="1"/>
      <c r="PHD116" s="1"/>
      <c r="PHE116" s="1"/>
      <c r="PHF116" s="1"/>
      <c r="PHG116" s="1"/>
      <c r="PHH116" s="1"/>
      <c r="PHI116" s="1"/>
      <c r="PHJ116" s="1"/>
      <c r="PHK116" s="1"/>
      <c r="PHL116" s="1"/>
      <c r="PHM116" s="1"/>
      <c r="PHN116" s="1"/>
      <c r="PHO116" s="1"/>
      <c r="PHP116" s="1"/>
      <c r="PHQ116" s="1"/>
      <c r="PHR116" s="1"/>
      <c r="PHS116" s="1"/>
      <c r="PHT116" s="1"/>
      <c r="PHU116" s="1"/>
      <c r="PHV116" s="1"/>
      <c r="PHW116" s="1"/>
      <c r="PHX116" s="1"/>
      <c r="PHY116" s="1"/>
      <c r="PHZ116" s="1"/>
      <c r="PIA116" s="1"/>
      <c r="PIB116" s="1"/>
      <c r="PIC116" s="1"/>
      <c r="PID116" s="1"/>
      <c r="PIE116" s="1"/>
      <c r="PIF116" s="1"/>
      <c r="PIG116" s="1"/>
      <c r="PIH116" s="1"/>
      <c r="PII116" s="1"/>
      <c r="PIJ116" s="1"/>
      <c r="PIK116" s="1"/>
      <c r="PIL116" s="1"/>
      <c r="PIM116" s="1"/>
      <c r="PIN116" s="1"/>
      <c r="PIO116" s="1"/>
      <c r="PIP116" s="1"/>
      <c r="PIQ116" s="1"/>
      <c r="PIR116" s="1"/>
      <c r="PIS116" s="1"/>
      <c r="PIT116" s="1"/>
      <c r="PIU116" s="1"/>
      <c r="PIV116" s="1"/>
      <c r="PIW116" s="1"/>
      <c r="PIX116" s="1"/>
      <c r="PIY116" s="1"/>
      <c r="PIZ116" s="1"/>
      <c r="PJA116" s="1"/>
      <c r="PJB116" s="1"/>
      <c r="PJC116" s="1"/>
      <c r="PJD116" s="1"/>
      <c r="PJE116" s="1"/>
      <c r="PJF116" s="1"/>
      <c r="PJG116" s="1"/>
      <c r="PJH116" s="1"/>
      <c r="PJI116" s="1"/>
      <c r="PJJ116" s="1"/>
      <c r="PJK116" s="1"/>
      <c r="PJL116" s="1"/>
      <c r="PJM116" s="1"/>
      <c r="PJN116" s="1"/>
      <c r="PJO116" s="1"/>
      <c r="PJP116" s="1"/>
      <c r="PJQ116" s="1"/>
      <c r="PJR116" s="1"/>
      <c r="PJS116" s="1"/>
      <c r="PJT116" s="1"/>
      <c r="PJU116" s="1"/>
      <c r="PJV116" s="1"/>
      <c r="PJW116" s="1"/>
      <c r="PJX116" s="1"/>
      <c r="PJY116" s="1"/>
      <c r="PJZ116" s="1"/>
      <c r="PKA116" s="1"/>
      <c r="PKB116" s="1"/>
      <c r="PKC116" s="1"/>
      <c r="PKD116" s="1"/>
      <c r="PKE116" s="1"/>
      <c r="PKF116" s="1"/>
      <c r="PKG116" s="1"/>
      <c r="PKH116" s="1"/>
      <c r="PKI116" s="1"/>
      <c r="PKJ116" s="1"/>
      <c r="PKK116" s="1"/>
      <c r="PKL116" s="1"/>
      <c r="PKM116" s="1"/>
      <c r="PKN116" s="1"/>
      <c r="PKO116" s="1"/>
      <c r="PKP116" s="1"/>
      <c r="PKQ116" s="1"/>
      <c r="PKR116" s="1"/>
      <c r="PKS116" s="1"/>
      <c r="PKT116" s="1"/>
      <c r="PKU116" s="1"/>
      <c r="PKV116" s="1"/>
      <c r="PKW116" s="1"/>
      <c r="PKX116" s="1"/>
      <c r="PKY116" s="1"/>
      <c r="PKZ116" s="1"/>
      <c r="PLA116" s="1"/>
      <c r="PLB116" s="1"/>
      <c r="PLC116" s="1"/>
      <c r="PLD116" s="1"/>
      <c r="PLE116" s="1"/>
      <c r="PLF116" s="1"/>
      <c r="PLG116" s="1"/>
      <c r="PLH116" s="1"/>
      <c r="PLI116" s="1"/>
      <c r="PLJ116" s="1"/>
      <c r="PLK116" s="1"/>
      <c r="PLL116" s="1"/>
      <c r="PLM116" s="1"/>
      <c r="PLN116" s="1"/>
      <c r="PLO116" s="1"/>
      <c r="PLP116" s="1"/>
      <c r="PLQ116" s="1"/>
      <c r="PLR116" s="1"/>
      <c r="PLS116" s="1"/>
      <c r="PLT116" s="1"/>
      <c r="PLU116" s="1"/>
      <c r="PLV116" s="1"/>
      <c r="PLW116" s="1"/>
      <c r="PLX116" s="1"/>
      <c r="PLY116" s="1"/>
      <c r="PLZ116" s="1"/>
      <c r="PMA116" s="1"/>
      <c r="PMB116" s="1"/>
      <c r="PMC116" s="1"/>
      <c r="PMD116" s="1"/>
      <c r="PME116" s="1"/>
      <c r="PMF116" s="1"/>
      <c r="PMG116" s="1"/>
      <c r="PMH116" s="1"/>
      <c r="PMI116" s="1"/>
      <c r="PMJ116" s="1"/>
      <c r="PMK116" s="1"/>
      <c r="PML116" s="1"/>
      <c r="PMM116" s="1"/>
      <c r="PMN116" s="1"/>
      <c r="PMO116" s="1"/>
      <c r="PMP116" s="1"/>
      <c r="PMQ116" s="1"/>
      <c r="PMR116" s="1"/>
      <c r="PMS116" s="1"/>
      <c r="PMT116" s="1"/>
      <c r="PMU116" s="1"/>
      <c r="PMV116" s="1"/>
      <c r="PMW116" s="1"/>
      <c r="PMX116" s="1"/>
      <c r="PMY116" s="1"/>
      <c r="PMZ116" s="1"/>
      <c r="PNA116" s="1"/>
      <c r="PNB116" s="1"/>
      <c r="PNC116" s="1"/>
      <c r="PND116" s="1"/>
      <c r="PNE116" s="1"/>
      <c r="PNF116" s="1"/>
      <c r="PNG116" s="1"/>
      <c r="PNH116" s="1"/>
      <c r="PNI116" s="1"/>
      <c r="PNJ116" s="1"/>
      <c r="PNK116" s="1"/>
      <c r="PNL116" s="1"/>
      <c r="PNM116" s="1"/>
      <c r="PNN116" s="1"/>
      <c r="PNO116" s="1"/>
      <c r="PNP116" s="1"/>
      <c r="PNQ116" s="1"/>
      <c r="PNR116" s="1"/>
      <c r="PNS116" s="1"/>
      <c r="PNT116" s="1"/>
      <c r="PNU116" s="1"/>
      <c r="PNV116" s="1"/>
      <c r="PNW116" s="1"/>
      <c r="PNX116" s="1"/>
      <c r="PNY116" s="1"/>
      <c r="PNZ116" s="1"/>
      <c r="POA116" s="1"/>
      <c r="POB116" s="1"/>
      <c r="POC116" s="1"/>
      <c r="POD116" s="1"/>
      <c r="POE116" s="1"/>
      <c r="POF116" s="1"/>
      <c r="POG116" s="1"/>
      <c r="POH116" s="1"/>
      <c r="POI116" s="1"/>
      <c r="POJ116" s="1"/>
      <c r="POK116" s="1"/>
      <c r="POL116" s="1"/>
      <c r="POM116" s="1"/>
      <c r="PON116" s="1"/>
      <c r="POO116" s="1"/>
      <c r="POP116" s="1"/>
      <c r="POQ116" s="1"/>
      <c r="POR116" s="1"/>
      <c r="POS116" s="1"/>
      <c r="POT116" s="1"/>
      <c r="POU116" s="1"/>
      <c r="POV116" s="1"/>
      <c r="POW116" s="1"/>
      <c r="POX116" s="1"/>
      <c r="POY116" s="1"/>
      <c r="POZ116" s="1"/>
      <c r="PPA116" s="1"/>
      <c r="PPB116" s="1"/>
      <c r="PPC116" s="1"/>
      <c r="PPD116" s="1"/>
      <c r="PPE116" s="1"/>
      <c r="PPF116" s="1"/>
      <c r="PPG116" s="1"/>
      <c r="PPH116" s="1"/>
      <c r="PPI116" s="1"/>
      <c r="PPJ116" s="1"/>
      <c r="PPK116" s="1"/>
      <c r="PPL116" s="1"/>
      <c r="PPM116" s="1"/>
      <c r="PPN116" s="1"/>
      <c r="PPO116" s="1"/>
      <c r="PPP116" s="1"/>
      <c r="PPQ116" s="1"/>
      <c r="PPR116" s="1"/>
      <c r="PPS116" s="1"/>
      <c r="PPT116" s="1"/>
      <c r="PPU116" s="1"/>
      <c r="PPV116" s="1"/>
      <c r="PPW116" s="1"/>
      <c r="PPX116" s="1"/>
      <c r="PPY116" s="1"/>
      <c r="PPZ116" s="1"/>
      <c r="PQA116" s="1"/>
      <c r="PQB116" s="1"/>
      <c r="PQC116" s="1"/>
      <c r="PQD116" s="1"/>
      <c r="PQE116" s="1"/>
      <c r="PQF116" s="1"/>
      <c r="PQG116" s="1"/>
      <c r="PQH116" s="1"/>
      <c r="PQI116" s="1"/>
      <c r="PQJ116" s="1"/>
      <c r="PQK116" s="1"/>
      <c r="PQL116" s="1"/>
      <c r="PQM116" s="1"/>
      <c r="PQN116" s="1"/>
      <c r="PQO116" s="1"/>
      <c r="PQP116" s="1"/>
      <c r="PQQ116" s="1"/>
      <c r="PQR116" s="1"/>
      <c r="PQS116" s="1"/>
      <c r="PQT116" s="1"/>
      <c r="PQU116" s="1"/>
      <c r="PQV116" s="1"/>
      <c r="PQW116" s="1"/>
      <c r="PQX116" s="1"/>
      <c r="PQY116" s="1"/>
      <c r="PQZ116" s="1"/>
      <c r="PRA116" s="1"/>
      <c r="PRB116" s="1"/>
      <c r="PRC116" s="1"/>
      <c r="PRD116" s="1"/>
      <c r="PRE116" s="1"/>
      <c r="PRF116" s="1"/>
      <c r="PRG116" s="1"/>
      <c r="PRH116" s="1"/>
      <c r="PRI116" s="1"/>
      <c r="PRJ116" s="1"/>
      <c r="PRK116" s="1"/>
      <c r="PRL116" s="1"/>
      <c r="PRM116" s="1"/>
      <c r="PRN116" s="1"/>
      <c r="PRO116" s="1"/>
      <c r="PRP116" s="1"/>
      <c r="PRQ116" s="1"/>
      <c r="PRR116" s="1"/>
      <c r="PRS116" s="1"/>
      <c r="PRT116" s="1"/>
      <c r="PRU116" s="1"/>
      <c r="PRV116" s="1"/>
      <c r="PRW116" s="1"/>
      <c r="PRX116" s="1"/>
      <c r="PRY116" s="1"/>
      <c r="PRZ116" s="1"/>
      <c r="PSA116" s="1"/>
      <c r="PSB116" s="1"/>
      <c r="PSC116" s="1"/>
      <c r="PSD116" s="1"/>
      <c r="PSE116" s="1"/>
      <c r="PSF116" s="1"/>
      <c r="PSG116" s="1"/>
      <c r="PSH116" s="1"/>
      <c r="PSI116" s="1"/>
      <c r="PSJ116" s="1"/>
      <c r="PSK116" s="1"/>
      <c r="PSL116" s="1"/>
      <c r="PSM116" s="1"/>
      <c r="PSN116" s="1"/>
      <c r="PSO116" s="1"/>
      <c r="PSP116" s="1"/>
      <c r="PSQ116" s="1"/>
      <c r="PSR116" s="1"/>
      <c r="PSS116" s="1"/>
      <c r="PST116" s="1"/>
      <c r="PSU116" s="1"/>
      <c r="PSV116" s="1"/>
      <c r="PSW116" s="1"/>
      <c r="PSX116" s="1"/>
      <c r="PSY116" s="1"/>
      <c r="PSZ116" s="1"/>
      <c r="PTA116" s="1"/>
      <c r="PTB116" s="1"/>
      <c r="PTC116" s="1"/>
      <c r="PTD116" s="1"/>
      <c r="PTE116" s="1"/>
      <c r="PTF116" s="1"/>
      <c r="PTG116" s="1"/>
      <c r="PTH116" s="1"/>
      <c r="PTI116" s="1"/>
      <c r="PTJ116" s="1"/>
      <c r="PTK116" s="1"/>
      <c r="PTL116" s="1"/>
      <c r="PTM116" s="1"/>
      <c r="PTN116" s="1"/>
      <c r="PTO116" s="1"/>
      <c r="PTP116" s="1"/>
      <c r="PTQ116" s="1"/>
      <c r="PTR116" s="1"/>
      <c r="PTS116" s="1"/>
      <c r="PTT116" s="1"/>
      <c r="PTU116" s="1"/>
      <c r="PTV116" s="1"/>
      <c r="PTW116" s="1"/>
      <c r="PTX116" s="1"/>
      <c r="PTY116" s="1"/>
      <c r="PTZ116" s="1"/>
      <c r="PUA116" s="1"/>
      <c r="PUB116" s="1"/>
      <c r="PUC116" s="1"/>
      <c r="PUD116" s="1"/>
      <c r="PUE116" s="1"/>
      <c r="PUF116" s="1"/>
      <c r="PUG116" s="1"/>
      <c r="PUH116" s="1"/>
      <c r="PUI116" s="1"/>
      <c r="PUJ116" s="1"/>
      <c r="PUK116" s="1"/>
      <c r="PUL116" s="1"/>
      <c r="PUM116" s="1"/>
      <c r="PUN116" s="1"/>
      <c r="PUO116" s="1"/>
      <c r="PUP116" s="1"/>
      <c r="PUQ116" s="1"/>
      <c r="PUR116" s="1"/>
      <c r="PUS116" s="1"/>
      <c r="PUT116" s="1"/>
      <c r="PUU116" s="1"/>
      <c r="PUV116" s="1"/>
      <c r="PUW116" s="1"/>
      <c r="PUX116" s="1"/>
      <c r="PUY116" s="1"/>
      <c r="PUZ116" s="1"/>
      <c r="PVA116" s="1"/>
      <c r="PVB116" s="1"/>
      <c r="PVC116" s="1"/>
      <c r="PVD116" s="1"/>
      <c r="PVE116" s="1"/>
      <c r="PVF116" s="1"/>
      <c r="PVG116" s="1"/>
      <c r="PVH116" s="1"/>
      <c r="PVI116" s="1"/>
      <c r="PVJ116" s="1"/>
      <c r="PVK116" s="1"/>
      <c r="PVL116" s="1"/>
      <c r="PVM116" s="1"/>
      <c r="PVN116" s="1"/>
      <c r="PVO116" s="1"/>
      <c r="PVP116" s="1"/>
      <c r="PVQ116" s="1"/>
      <c r="PVR116" s="1"/>
      <c r="PVS116" s="1"/>
      <c r="PVT116" s="1"/>
      <c r="PVU116" s="1"/>
      <c r="PVV116" s="1"/>
      <c r="PVW116" s="1"/>
      <c r="PVX116" s="1"/>
      <c r="PVY116" s="1"/>
      <c r="PVZ116" s="1"/>
      <c r="PWA116" s="1"/>
      <c r="PWB116" s="1"/>
      <c r="PWC116" s="1"/>
      <c r="PWD116" s="1"/>
      <c r="PWE116" s="1"/>
      <c r="PWF116" s="1"/>
      <c r="PWG116" s="1"/>
      <c r="PWH116" s="1"/>
      <c r="PWI116" s="1"/>
      <c r="PWJ116" s="1"/>
      <c r="PWK116" s="1"/>
      <c r="PWL116" s="1"/>
      <c r="PWM116" s="1"/>
      <c r="PWN116" s="1"/>
      <c r="PWO116" s="1"/>
      <c r="PWP116" s="1"/>
      <c r="PWQ116" s="1"/>
      <c r="PWR116" s="1"/>
      <c r="PWS116" s="1"/>
      <c r="PWT116" s="1"/>
      <c r="PWU116" s="1"/>
      <c r="PWV116" s="1"/>
      <c r="PWW116" s="1"/>
      <c r="PWX116" s="1"/>
      <c r="PWY116" s="1"/>
      <c r="PWZ116" s="1"/>
      <c r="PXA116" s="1"/>
      <c r="PXB116" s="1"/>
      <c r="PXC116" s="1"/>
      <c r="PXD116" s="1"/>
      <c r="PXE116" s="1"/>
      <c r="PXF116" s="1"/>
      <c r="PXG116" s="1"/>
      <c r="PXH116" s="1"/>
      <c r="PXI116" s="1"/>
      <c r="PXJ116" s="1"/>
      <c r="PXK116" s="1"/>
      <c r="PXL116" s="1"/>
      <c r="PXM116" s="1"/>
      <c r="PXN116" s="1"/>
      <c r="PXO116" s="1"/>
      <c r="PXP116" s="1"/>
      <c r="PXQ116" s="1"/>
      <c r="PXR116" s="1"/>
      <c r="PXS116" s="1"/>
      <c r="PXT116" s="1"/>
      <c r="PXU116" s="1"/>
      <c r="PXV116" s="1"/>
      <c r="PXW116" s="1"/>
      <c r="PXX116" s="1"/>
      <c r="PXY116" s="1"/>
      <c r="PXZ116" s="1"/>
      <c r="PYA116" s="1"/>
      <c r="PYB116" s="1"/>
      <c r="PYC116" s="1"/>
      <c r="PYD116" s="1"/>
      <c r="PYE116" s="1"/>
      <c r="PYF116" s="1"/>
      <c r="PYG116" s="1"/>
      <c r="PYH116" s="1"/>
      <c r="PYI116" s="1"/>
      <c r="PYJ116" s="1"/>
      <c r="PYK116" s="1"/>
      <c r="PYL116" s="1"/>
      <c r="PYM116" s="1"/>
      <c r="PYN116" s="1"/>
      <c r="PYO116" s="1"/>
      <c r="PYP116" s="1"/>
      <c r="PYQ116" s="1"/>
      <c r="PYR116" s="1"/>
      <c r="PYS116" s="1"/>
      <c r="PYT116" s="1"/>
      <c r="PYU116" s="1"/>
      <c r="PYV116" s="1"/>
      <c r="PYW116" s="1"/>
      <c r="PYX116" s="1"/>
      <c r="PYY116" s="1"/>
      <c r="PYZ116" s="1"/>
      <c r="PZA116" s="1"/>
      <c r="PZB116" s="1"/>
      <c r="PZC116" s="1"/>
      <c r="PZD116" s="1"/>
      <c r="PZE116" s="1"/>
      <c r="PZF116" s="1"/>
      <c r="PZG116" s="1"/>
      <c r="PZH116" s="1"/>
      <c r="PZI116" s="1"/>
      <c r="PZJ116" s="1"/>
      <c r="PZK116" s="1"/>
      <c r="PZL116" s="1"/>
      <c r="PZM116" s="1"/>
      <c r="PZN116" s="1"/>
      <c r="PZO116" s="1"/>
      <c r="PZP116" s="1"/>
      <c r="PZQ116" s="1"/>
      <c r="PZR116" s="1"/>
      <c r="PZS116" s="1"/>
      <c r="PZT116" s="1"/>
      <c r="PZU116" s="1"/>
      <c r="PZV116" s="1"/>
      <c r="PZW116" s="1"/>
      <c r="PZX116" s="1"/>
      <c r="PZY116" s="1"/>
      <c r="PZZ116" s="1"/>
      <c r="QAA116" s="1"/>
      <c r="QAB116" s="1"/>
      <c r="QAC116" s="1"/>
      <c r="QAD116" s="1"/>
      <c r="QAE116" s="1"/>
      <c r="QAF116" s="1"/>
      <c r="QAG116" s="1"/>
      <c r="QAH116" s="1"/>
      <c r="QAI116" s="1"/>
      <c r="QAJ116" s="1"/>
      <c r="QAK116" s="1"/>
      <c r="QAL116" s="1"/>
      <c r="QAM116" s="1"/>
      <c r="QAN116" s="1"/>
      <c r="QAO116" s="1"/>
      <c r="QAP116" s="1"/>
      <c r="QAQ116" s="1"/>
      <c r="QAR116" s="1"/>
      <c r="QAS116" s="1"/>
      <c r="QAT116" s="1"/>
      <c r="QAU116" s="1"/>
      <c r="QAV116" s="1"/>
      <c r="QAW116" s="1"/>
      <c r="QAX116" s="1"/>
      <c r="QAY116" s="1"/>
      <c r="QAZ116" s="1"/>
      <c r="QBA116" s="1"/>
      <c r="QBB116" s="1"/>
      <c r="QBC116" s="1"/>
      <c r="QBD116" s="1"/>
      <c r="QBE116" s="1"/>
      <c r="QBF116" s="1"/>
      <c r="QBG116" s="1"/>
      <c r="QBH116" s="1"/>
      <c r="QBI116" s="1"/>
      <c r="QBJ116" s="1"/>
      <c r="QBK116" s="1"/>
      <c r="QBL116" s="1"/>
      <c r="QBM116" s="1"/>
      <c r="QBN116" s="1"/>
      <c r="QBO116" s="1"/>
      <c r="QBP116" s="1"/>
      <c r="QBQ116" s="1"/>
      <c r="QBR116" s="1"/>
      <c r="QBS116" s="1"/>
      <c r="QBT116" s="1"/>
      <c r="QBU116" s="1"/>
      <c r="QBV116" s="1"/>
      <c r="QBW116" s="1"/>
      <c r="QBX116" s="1"/>
      <c r="QBY116" s="1"/>
      <c r="QBZ116" s="1"/>
      <c r="QCA116" s="1"/>
      <c r="QCB116" s="1"/>
      <c r="QCC116" s="1"/>
      <c r="QCD116" s="1"/>
      <c r="QCE116" s="1"/>
      <c r="QCF116" s="1"/>
      <c r="QCG116" s="1"/>
      <c r="QCH116" s="1"/>
      <c r="QCI116" s="1"/>
      <c r="QCJ116" s="1"/>
      <c r="QCK116" s="1"/>
      <c r="QCL116" s="1"/>
      <c r="QCM116" s="1"/>
      <c r="QCN116" s="1"/>
      <c r="QCO116" s="1"/>
      <c r="QCP116" s="1"/>
      <c r="QCQ116" s="1"/>
      <c r="QCR116" s="1"/>
      <c r="QCS116" s="1"/>
      <c r="QCT116" s="1"/>
      <c r="QCU116" s="1"/>
      <c r="QCV116" s="1"/>
      <c r="QCW116" s="1"/>
      <c r="QCX116" s="1"/>
      <c r="QCY116" s="1"/>
      <c r="QCZ116" s="1"/>
      <c r="QDA116" s="1"/>
      <c r="QDB116" s="1"/>
      <c r="QDC116" s="1"/>
      <c r="QDD116" s="1"/>
      <c r="QDE116" s="1"/>
      <c r="QDF116" s="1"/>
      <c r="QDG116" s="1"/>
      <c r="QDH116" s="1"/>
      <c r="QDI116" s="1"/>
      <c r="QDJ116" s="1"/>
      <c r="QDK116" s="1"/>
      <c r="QDL116" s="1"/>
      <c r="QDM116" s="1"/>
      <c r="QDN116" s="1"/>
      <c r="QDO116" s="1"/>
      <c r="QDP116" s="1"/>
      <c r="QDQ116" s="1"/>
      <c r="QDR116" s="1"/>
      <c r="QDS116" s="1"/>
      <c r="QDT116" s="1"/>
      <c r="QDU116" s="1"/>
      <c r="QDV116" s="1"/>
      <c r="QDW116" s="1"/>
      <c r="QDX116" s="1"/>
      <c r="QDY116" s="1"/>
      <c r="QDZ116" s="1"/>
      <c r="QEA116" s="1"/>
      <c r="QEB116" s="1"/>
      <c r="QEC116" s="1"/>
      <c r="QED116" s="1"/>
      <c r="QEE116" s="1"/>
      <c r="QEF116" s="1"/>
      <c r="QEG116" s="1"/>
      <c r="QEH116" s="1"/>
      <c r="QEI116" s="1"/>
      <c r="QEJ116" s="1"/>
      <c r="QEK116" s="1"/>
      <c r="QEL116" s="1"/>
      <c r="QEM116" s="1"/>
      <c r="QEN116" s="1"/>
      <c r="QEO116" s="1"/>
      <c r="QEP116" s="1"/>
      <c r="QEQ116" s="1"/>
      <c r="QER116" s="1"/>
      <c r="QES116" s="1"/>
      <c r="QET116" s="1"/>
      <c r="QEU116" s="1"/>
      <c r="QEV116" s="1"/>
      <c r="QEW116" s="1"/>
      <c r="QEX116" s="1"/>
      <c r="QEY116" s="1"/>
      <c r="QEZ116" s="1"/>
      <c r="QFA116" s="1"/>
      <c r="QFB116" s="1"/>
      <c r="QFC116" s="1"/>
      <c r="QFD116" s="1"/>
      <c r="QFE116" s="1"/>
      <c r="QFF116" s="1"/>
      <c r="QFG116" s="1"/>
      <c r="QFH116" s="1"/>
      <c r="QFI116" s="1"/>
      <c r="QFJ116" s="1"/>
      <c r="QFK116" s="1"/>
      <c r="QFL116" s="1"/>
      <c r="QFM116" s="1"/>
      <c r="QFN116" s="1"/>
      <c r="QFO116" s="1"/>
      <c r="QFP116" s="1"/>
      <c r="QFQ116" s="1"/>
      <c r="QFR116" s="1"/>
      <c r="QFS116" s="1"/>
      <c r="QFT116" s="1"/>
      <c r="QFU116" s="1"/>
      <c r="QFV116" s="1"/>
      <c r="QFW116" s="1"/>
      <c r="QFX116" s="1"/>
      <c r="QFY116" s="1"/>
      <c r="QFZ116" s="1"/>
      <c r="QGA116" s="1"/>
      <c r="QGB116" s="1"/>
      <c r="QGC116" s="1"/>
      <c r="QGD116" s="1"/>
      <c r="QGE116" s="1"/>
      <c r="QGF116" s="1"/>
      <c r="QGG116" s="1"/>
      <c r="QGH116" s="1"/>
      <c r="QGI116" s="1"/>
      <c r="QGJ116" s="1"/>
      <c r="QGK116" s="1"/>
      <c r="QGL116" s="1"/>
      <c r="QGM116" s="1"/>
      <c r="QGN116" s="1"/>
      <c r="QGO116" s="1"/>
      <c r="QGP116" s="1"/>
      <c r="QGQ116" s="1"/>
      <c r="QGR116" s="1"/>
      <c r="QGS116" s="1"/>
      <c r="QGT116" s="1"/>
      <c r="QGU116" s="1"/>
      <c r="QGV116" s="1"/>
      <c r="QGW116" s="1"/>
      <c r="QGX116" s="1"/>
      <c r="QGY116" s="1"/>
      <c r="QGZ116" s="1"/>
      <c r="QHA116" s="1"/>
      <c r="QHB116" s="1"/>
      <c r="QHC116" s="1"/>
      <c r="QHD116" s="1"/>
      <c r="QHE116" s="1"/>
      <c r="QHF116" s="1"/>
      <c r="QHG116" s="1"/>
      <c r="QHH116" s="1"/>
      <c r="QHI116" s="1"/>
      <c r="QHJ116" s="1"/>
      <c r="QHK116" s="1"/>
      <c r="QHL116" s="1"/>
      <c r="QHM116" s="1"/>
      <c r="QHN116" s="1"/>
      <c r="QHO116" s="1"/>
      <c r="QHP116" s="1"/>
      <c r="QHQ116" s="1"/>
      <c r="QHR116" s="1"/>
      <c r="QHS116" s="1"/>
      <c r="QHT116" s="1"/>
      <c r="QHU116" s="1"/>
      <c r="QHV116" s="1"/>
      <c r="QHW116" s="1"/>
      <c r="QHX116" s="1"/>
      <c r="QHY116" s="1"/>
      <c r="QHZ116" s="1"/>
      <c r="QIA116" s="1"/>
      <c r="QIB116" s="1"/>
      <c r="QIC116" s="1"/>
      <c r="QID116" s="1"/>
      <c r="QIE116" s="1"/>
      <c r="QIF116" s="1"/>
      <c r="QIG116" s="1"/>
      <c r="QIH116" s="1"/>
      <c r="QII116" s="1"/>
      <c r="QIJ116" s="1"/>
      <c r="QIK116" s="1"/>
      <c r="QIL116" s="1"/>
      <c r="QIM116" s="1"/>
      <c r="QIN116" s="1"/>
      <c r="QIO116" s="1"/>
      <c r="QIP116" s="1"/>
      <c r="QIQ116" s="1"/>
      <c r="QIR116" s="1"/>
      <c r="QIS116" s="1"/>
      <c r="QIT116" s="1"/>
      <c r="QIU116" s="1"/>
      <c r="QIV116" s="1"/>
      <c r="QIW116" s="1"/>
      <c r="QIX116" s="1"/>
      <c r="QIY116" s="1"/>
      <c r="QIZ116" s="1"/>
      <c r="QJA116" s="1"/>
      <c r="QJB116" s="1"/>
      <c r="QJC116" s="1"/>
      <c r="QJD116" s="1"/>
      <c r="QJE116" s="1"/>
      <c r="QJF116" s="1"/>
      <c r="QJG116" s="1"/>
      <c r="QJH116" s="1"/>
      <c r="QJI116" s="1"/>
      <c r="QJJ116" s="1"/>
      <c r="QJK116" s="1"/>
      <c r="QJL116" s="1"/>
      <c r="QJM116" s="1"/>
      <c r="QJN116" s="1"/>
      <c r="QJO116" s="1"/>
      <c r="QJP116" s="1"/>
      <c r="QJQ116" s="1"/>
      <c r="QJR116" s="1"/>
      <c r="QJS116" s="1"/>
      <c r="QJT116" s="1"/>
      <c r="QJU116" s="1"/>
      <c r="QJV116" s="1"/>
      <c r="QJW116" s="1"/>
      <c r="QJX116" s="1"/>
      <c r="QJY116" s="1"/>
      <c r="QJZ116" s="1"/>
      <c r="QKA116" s="1"/>
      <c r="QKB116" s="1"/>
      <c r="QKC116" s="1"/>
      <c r="QKD116" s="1"/>
      <c r="QKE116" s="1"/>
      <c r="QKF116" s="1"/>
      <c r="QKG116" s="1"/>
      <c r="QKH116" s="1"/>
      <c r="QKI116" s="1"/>
      <c r="QKJ116" s="1"/>
      <c r="QKK116" s="1"/>
      <c r="QKL116" s="1"/>
      <c r="QKM116" s="1"/>
      <c r="QKN116" s="1"/>
      <c r="QKO116" s="1"/>
      <c r="QKP116" s="1"/>
      <c r="QKQ116" s="1"/>
      <c r="QKR116" s="1"/>
      <c r="QKS116" s="1"/>
      <c r="QKT116" s="1"/>
      <c r="QKU116" s="1"/>
      <c r="QKV116" s="1"/>
      <c r="QKW116" s="1"/>
      <c r="QKX116" s="1"/>
      <c r="QKY116" s="1"/>
      <c r="QKZ116" s="1"/>
      <c r="QLA116" s="1"/>
      <c r="QLB116" s="1"/>
      <c r="QLC116" s="1"/>
      <c r="QLD116" s="1"/>
      <c r="QLE116" s="1"/>
      <c r="QLF116" s="1"/>
      <c r="QLG116" s="1"/>
      <c r="QLH116" s="1"/>
      <c r="QLI116" s="1"/>
      <c r="QLJ116" s="1"/>
      <c r="QLK116" s="1"/>
      <c r="QLL116" s="1"/>
      <c r="QLM116" s="1"/>
      <c r="QLN116" s="1"/>
      <c r="QLO116" s="1"/>
      <c r="QLP116" s="1"/>
      <c r="QLQ116" s="1"/>
      <c r="QLR116" s="1"/>
      <c r="QLS116" s="1"/>
      <c r="QLT116" s="1"/>
      <c r="QLU116" s="1"/>
      <c r="QLV116" s="1"/>
      <c r="QLW116" s="1"/>
      <c r="QLX116" s="1"/>
      <c r="QLY116" s="1"/>
      <c r="QLZ116" s="1"/>
      <c r="QMA116" s="1"/>
      <c r="QMB116" s="1"/>
      <c r="QMC116" s="1"/>
      <c r="QMD116" s="1"/>
      <c r="QME116" s="1"/>
      <c r="QMF116" s="1"/>
      <c r="QMG116" s="1"/>
      <c r="QMH116" s="1"/>
      <c r="QMI116" s="1"/>
      <c r="QMJ116" s="1"/>
      <c r="QMK116" s="1"/>
      <c r="QML116" s="1"/>
      <c r="QMM116" s="1"/>
      <c r="QMN116" s="1"/>
      <c r="QMO116" s="1"/>
      <c r="QMP116" s="1"/>
      <c r="QMQ116" s="1"/>
      <c r="QMR116" s="1"/>
      <c r="QMS116" s="1"/>
      <c r="QMT116" s="1"/>
      <c r="QMU116" s="1"/>
      <c r="QMV116" s="1"/>
      <c r="QMW116" s="1"/>
      <c r="QMX116" s="1"/>
      <c r="QMY116" s="1"/>
      <c r="QMZ116" s="1"/>
      <c r="QNA116" s="1"/>
      <c r="QNB116" s="1"/>
      <c r="QNC116" s="1"/>
      <c r="QND116" s="1"/>
      <c r="QNE116" s="1"/>
      <c r="QNF116" s="1"/>
      <c r="QNG116" s="1"/>
      <c r="QNH116" s="1"/>
      <c r="QNI116" s="1"/>
      <c r="QNJ116" s="1"/>
      <c r="QNK116" s="1"/>
      <c r="QNL116" s="1"/>
      <c r="QNM116" s="1"/>
      <c r="QNN116" s="1"/>
      <c r="QNO116" s="1"/>
      <c r="QNP116" s="1"/>
      <c r="QNQ116" s="1"/>
      <c r="QNR116" s="1"/>
      <c r="QNS116" s="1"/>
      <c r="QNT116" s="1"/>
      <c r="QNU116" s="1"/>
      <c r="QNV116" s="1"/>
      <c r="QNW116" s="1"/>
      <c r="QNX116" s="1"/>
      <c r="QNY116" s="1"/>
      <c r="QNZ116" s="1"/>
      <c r="QOA116" s="1"/>
      <c r="QOB116" s="1"/>
      <c r="QOC116" s="1"/>
      <c r="QOD116" s="1"/>
      <c r="QOE116" s="1"/>
      <c r="QOF116" s="1"/>
      <c r="QOG116" s="1"/>
      <c r="QOH116" s="1"/>
      <c r="QOI116" s="1"/>
      <c r="QOJ116" s="1"/>
      <c r="QOK116" s="1"/>
      <c r="QOL116" s="1"/>
      <c r="QOM116" s="1"/>
      <c r="QON116" s="1"/>
      <c r="QOO116" s="1"/>
      <c r="QOP116" s="1"/>
      <c r="QOQ116" s="1"/>
      <c r="QOR116" s="1"/>
      <c r="QOS116" s="1"/>
      <c r="QOT116" s="1"/>
      <c r="QOU116" s="1"/>
      <c r="QOV116" s="1"/>
      <c r="QOW116" s="1"/>
      <c r="QOX116" s="1"/>
      <c r="QOY116" s="1"/>
      <c r="QOZ116" s="1"/>
      <c r="QPA116" s="1"/>
      <c r="QPB116" s="1"/>
      <c r="QPC116" s="1"/>
      <c r="QPD116" s="1"/>
      <c r="QPE116" s="1"/>
      <c r="QPF116" s="1"/>
      <c r="QPG116" s="1"/>
      <c r="QPH116" s="1"/>
      <c r="QPI116" s="1"/>
      <c r="QPJ116" s="1"/>
      <c r="QPK116" s="1"/>
      <c r="QPL116" s="1"/>
      <c r="QPM116" s="1"/>
      <c r="QPN116" s="1"/>
      <c r="QPO116" s="1"/>
      <c r="QPP116" s="1"/>
      <c r="QPQ116" s="1"/>
      <c r="QPR116" s="1"/>
      <c r="QPS116" s="1"/>
      <c r="QPT116" s="1"/>
      <c r="QPU116" s="1"/>
      <c r="QPV116" s="1"/>
      <c r="QPW116" s="1"/>
      <c r="QPX116" s="1"/>
      <c r="QPY116" s="1"/>
      <c r="QPZ116" s="1"/>
      <c r="QQA116" s="1"/>
      <c r="QQB116" s="1"/>
      <c r="QQC116" s="1"/>
      <c r="QQD116" s="1"/>
      <c r="QQE116" s="1"/>
      <c r="QQF116" s="1"/>
      <c r="QQG116" s="1"/>
      <c r="QQH116" s="1"/>
      <c r="QQI116" s="1"/>
      <c r="QQJ116" s="1"/>
      <c r="QQK116" s="1"/>
      <c r="QQL116" s="1"/>
      <c r="QQM116" s="1"/>
      <c r="QQN116" s="1"/>
      <c r="QQO116" s="1"/>
      <c r="QQP116" s="1"/>
      <c r="QQQ116" s="1"/>
      <c r="QQR116" s="1"/>
      <c r="QQS116" s="1"/>
      <c r="QQT116" s="1"/>
      <c r="QQU116" s="1"/>
      <c r="QQV116" s="1"/>
      <c r="QQW116" s="1"/>
      <c r="QQX116" s="1"/>
      <c r="QQY116" s="1"/>
      <c r="QQZ116" s="1"/>
      <c r="QRA116" s="1"/>
      <c r="QRB116" s="1"/>
      <c r="QRC116" s="1"/>
      <c r="QRD116" s="1"/>
      <c r="QRE116" s="1"/>
      <c r="QRF116" s="1"/>
      <c r="QRG116" s="1"/>
      <c r="QRH116" s="1"/>
      <c r="QRI116" s="1"/>
      <c r="QRJ116" s="1"/>
      <c r="QRK116" s="1"/>
      <c r="QRL116" s="1"/>
      <c r="QRM116" s="1"/>
      <c r="QRN116" s="1"/>
      <c r="QRO116" s="1"/>
      <c r="QRP116" s="1"/>
      <c r="QRQ116" s="1"/>
      <c r="QRR116" s="1"/>
      <c r="QRS116" s="1"/>
      <c r="QRT116" s="1"/>
      <c r="QRU116" s="1"/>
      <c r="QRV116" s="1"/>
      <c r="QRW116" s="1"/>
      <c r="QRX116" s="1"/>
      <c r="QRY116" s="1"/>
      <c r="QRZ116" s="1"/>
      <c r="QSA116" s="1"/>
      <c r="QSB116" s="1"/>
      <c r="QSC116" s="1"/>
      <c r="QSD116" s="1"/>
      <c r="QSE116" s="1"/>
      <c r="QSF116" s="1"/>
      <c r="QSG116" s="1"/>
      <c r="QSH116" s="1"/>
      <c r="QSI116" s="1"/>
      <c r="QSJ116" s="1"/>
      <c r="QSK116" s="1"/>
      <c r="QSL116" s="1"/>
      <c r="QSM116" s="1"/>
      <c r="QSN116" s="1"/>
      <c r="QSO116" s="1"/>
      <c r="QSP116" s="1"/>
      <c r="QSQ116" s="1"/>
      <c r="QSR116" s="1"/>
      <c r="QSS116" s="1"/>
      <c r="QST116" s="1"/>
      <c r="QSU116" s="1"/>
      <c r="QSV116" s="1"/>
      <c r="QSW116" s="1"/>
      <c r="QSX116" s="1"/>
      <c r="QSY116" s="1"/>
      <c r="QSZ116" s="1"/>
      <c r="QTA116" s="1"/>
      <c r="QTB116" s="1"/>
      <c r="QTC116" s="1"/>
      <c r="QTD116" s="1"/>
      <c r="QTE116" s="1"/>
      <c r="QTF116" s="1"/>
      <c r="QTG116" s="1"/>
      <c r="QTH116" s="1"/>
      <c r="QTI116" s="1"/>
      <c r="QTJ116" s="1"/>
      <c r="QTK116" s="1"/>
      <c r="QTL116" s="1"/>
      <c r="QTM116" s="1"/>
      <c r="QTN116" s="1"/>
      <c r="QTO116" s="1"/>
      <c r="QTP116" s="1"/>
      <c r="QTQ116" s="1"/>
      <c r="QTR116" s="1"/>
      <c r="QTS116" s="1"/>
      <c r="QTT116" s="1"/>
      <c r="QTU116" s="1"/>
      <c r="QTV116" s="1"/>
      <c r="QTW116" s="1"/>
      <c r="QTX116" s="1"/>
      <c r="QTY116" s="1"/>
      <c r="QTZ116" s="1"/>
      <c r="QUA116" s="1"/>
      <c r="QUB116" s="1"/>
      <c r="QUC116" s="1"/>
      <c r="QUD116" s="1"/>
      <c r="QUE116" s="1"/>
      <c r="QUF116" s="1"/>
      <c r="QUG116" s="1"/>
      <c r="QUH116" s="1"/>
      <c r="QUI116" s="1"/>
      <c r="QUJ116" s="1"/>
      <c r="QUK116" s="1"/>
      <c r="QUL116" s="1"/>
      <c r="QUM116" s="1"/>
      <c r="QUN116" s="1"/>
      <c r="QUO116" s="1"/>
      <c r="QUP116" s="1"/>
      <c r="QUQ116" s="1"/>
      <c r="QUR116" s="1"/>
      <c r="QUS116" s="1"/>
      <c r="QUT116" s="1"/>
      <c r="QUU116" s="1"/>
      <c r="QUV116" s="1"/>
      <c r="QUW116" s="1"/>
      <c r="QUX116" s="1"/>
      <c r="QUY116" s="1"/>
      <c r="QUZ116" s="1"/>
      <c r="QVA116" s="1"/>
      <c r="QVB116" s="1"/>
      <c r="QVC116" s="1"/>
      <c r="QVD116" s="1"/>
      <c r="QVE116" s="1"/>
      <c r="QVF116" s="1"/>
      <c r="QVG116" s="1"/>
      <c r="QVH116" s="1"/>
      <c r="QVI116" s="1"/>
      <c r="QVJ116" s="1"/>
      <c r="QVK116" s="1"/>
      <c r="QVL116" s="1"/>
      <c r="QVM116" s="1"/>
      <c r="QVN116" s="1"/>
      <c r="QVO116" s="1"/>
      <c r="QVP116" s="1"/>
      <c r="QVQ116" s="1"/>
      <c r="QVR116" s="1"/>
      <c r="QVS116" s="1"/>
      <c r="QVT116" s="1"/>
      <c r="QVU116" s="1"/>
      <c r="QVV116" s="1"/>
      <c r="QVW116" s="1"/>
      <c r="QVX116" s="1"/>
      <c r="QVY116" s="1"/>
      <c r="QVZ116" s="1"/>
      <c r="QWA116" s="1"/>
      <c r="QWB116" s="1"/>
      <c r="QWC116" s="1"/>
      <c r="QWD116" s="1"/>
      <c r="QWE116" s="1"/>
      <c r="QWF116" s="1"/>
      <c r="QWG116" s="1"/>
      <c r="QWH116" s="1"/>
      <c r="QWI116" s="1"/>
      <c r="QWJ116" s="1"/>
      <c r="QWK116" s="1"/>
      <c r="QWL116" s="1"/>
      <c r="QWM116" s="1"/>
      <c r="QWN116" s="1"/>
      <c r="QWO116" s="1"/>
      <c r="QWP116" s="1"/>
      <c r="QWQ116" s="1"/>
      <c r="QWR116" s="1"/>
      <c r="QWS116" s="1"/>
      <c r="QWT116" s="1"/>
      <c r="QWU116" s="1"/>
      <c r="QWV116" s="1"/>
      <c r="QWW116" s="1"/>
      <c r="QWX116" s="1"/>
      <c r="QWY116" s="1"/>
      <c r="QWZ116" s="1"/>
      <c r="QXA116" s="1"/>
      <c r="QXB116" s="1"/>
      <c r="QXC116" s="1"/>
      <c r="QXD116" s="1"/>
      <c r="QXE116" s="1"/>
      <c r="QXF116" s="1"/>
      <c r="QXG116" s="1"/>
      <c r="QXH116" s="1"/>
      <c r="QXI116" s="1"/>
      <c r="QXJ116" s="1"/>
      <c r="QXK116" s="1"/>
      <c r="QXL116" s="1"/>
      <c r="QXM116" s="1"/>
      <c r="QXN116" s="1"/>
      <c r="QXO116" s="1"/>
      <c r="QXP116" s="1"/>
      <c r="QXQ116" s="1"/>
      <c r="QXR116" s="1"/>
      <c r="QXS116" s="1"/>
      <c r="QXT116" s="1"/>
      <c r="QXU116" s="1"/>
      <c r="QXV116" s="1"/>
      <c r="QXW116" s="1"/>
      <c r="QXX116" s="1"/>
      <c r="QXY116" s="1"/>
      <c r="QXZ116" s="1"/>
      <c r="QYA116" s="1"/>
      <c r="QYB116" s="1"/>
      <c r="QYC116" s="1"/>
      <c r="QYD116" s="1"/>
      <c r="QYE116" s="1"/>
      <c r="QYF116" s="1"/>
      <c r="QYG116" s="1"/>
      <c r="QYH116" s="1"/>
      <c r="QYI116" s="1"/>
      <c r="QYJ116" s="1"/>
      <c r="QYK116" s="1"/>
      <c r="QYL116" s="1"/>
      <c r="QYM116" s="1"/>
      <c r="QYN116" s="1"/>
      <c r="QYO116" s="1"/>
      <c r="QYP116" s="1"/>
      <c r="QYQ116" s="1"/>
      <c r="QYR116" s="1"/>
      <c r="QYS116" s="1"/>
      <c r="QYT116" s="1"/>
      <c r="QYU116" s="1"/>
      <c r="QYV116" s="1"/>
      <c r="QYW116" s="1"/>
      <c r="QYX116" s="1"/>
      <c r="QYY116" s="1"/>
      <c r="QYZ116" s="1"/>
      <c r="QZA116" s="1"/>
      <c r="QZB116" s="1"/>
      <c r="QZC116" s="1"/>
      <c r="QZD116" s="1"/>
      <c r="QZE116" s="1"/>
      <c r="QZF116" s="1"/>
      <c r="QZG116" s="1"/>
      <c r="QZH116" s="1"/>
      <c r="QZI116" s="1"/>
      <c r="QZJ116" s="1"/>
      <c r="QZK116" s="1"/>
      <c r="QZL116" s="1"/>
      <c r="QZM116" s="1"/>
      <c r="QZN116" s="1"/>
      <c r="QZO116" s="1"/>
      <c r="QZP116" s="1"/>
      <c r="QZQ116" s="1"/>
      <c r="QZR116" s="1"/>
      <c r="QZS116" s="1"/>
      <c r="QZT116" s="1"/>
      <c r="QZU116" s="1"/>
      <c r="QZV116" s="1"/>
      <c r="QZW116" s="1"/>
      <c r="QZX116" s="1"/>
      <c r="QZY116" s="1"/>
      <c r="QZZ116" s="1"/>
      <c r="RAA116" s="1"/>
      <c r="RAB116" s="1"/>
      <c r="RAC116" s="1"/>
      <c r="RAD116" s="1"/>
      <c r="RAE116" s="1"/>
      <c r="RAF116" s="1"/>
      <c r="RAG116" s="1"/>
      <c r="RAH116" s="1"/>
      <c r="RAI116" s="1"/>
      <c r="RAJ116" s="1"/>
      <c r="RAK116" s="1"/>
      <c r="RAL116" s="1"/>
      <c r="RAM116" s="1"/>
      <c r="RAN116" s="1"/>
      <c r="RAO116" s="1"/>
      <c r="RAP116" s="1"/>
      <c r="RAQ116" s="1"/>
      <c r="RAR116" s="1"/>
      <c r="RAS116" s="1"/>
      <c r="RAT116" s="1"/>
      <c r="RAU116" s="1"/>
      <c r="RAV116" s="1"/>
      <c r="RAW116" s="1"/>
      <c r="RAX116" s="1"/>
      <c r="RAY116" s="1"/>
      <c r="RAZ116" s="1"/>
      <c r="RBA116" s="1"/>
      <c r="RBB116" s="1"/>
      <c r="RBC116" s="1"/>
      <c r="RBD116" s="1"/>
      <c r="RBE116" s="1"/>
      <c r="RBF116" s="1"/>
      <c r="RBG116" s="1"/>
      <c r="RBH116" s="1"/>
      <c r="RBI116" s="1"/>
      <c r="RBJ116" s="1"/>
      <c r="RBK116" s="1"/>
      <c r="RBL116" s="1"/>
      <c r="RBM116" s="1"/>
      <c r="RBN116" s="1"/>
      <c r="RBO116" s="1"/>
      <c r="RBP116" s="1"/>
      <c r="RBQ116" s="1"/>
      <c r="RBR116" s="1"/>
      <c r="RBS116" s="1"/>
      <c r="RBT116" s="1"/>
      <c r="RBU116" s="1"/>
      <c r="RBV116" s="1"/>
      <c r="RBW116" s="1"/>
      <c r="RBX116" s="1"/>
      <c r="RBY116" s="1"/>
      <c r="RBZ116" s="1"/>
      <c r="RCA116" s="1"/>
      <c r="RCB116" s="1"/>
      <c r="RCC116" s="1"/>
      <c r="RCD116" s="1"/>
      <c r="RCE116" s="1"/>
      <c r="RCF116" s="1"/>
      <c r="RCG116" s="1"/>
      <c r="RCH116" s="1"/>
      <c r="RCI116" s="1"/>
      <c r="RCJ116" s="1"/>
      <c r="RCK116" s="1"/>
      <c r="RCL116" s="1"/>
      <c r="RCM116" s="1"/>
      <c r="RCN116" s="1"/>
      <c r="RCO116" s="1"/>
      <c r="RCP116" s="1"/>
      <c r="RCQ116" s="1"/>
      <c r="RCR116" s="1"/>
      <c r="RCS116" s="1"/>
      <c r="RCT116" s="1"/>
      <c r="RCU116" s="1"/>
      <c r="RCV116" s="1"/>
      <c r="RCW116" s="1"/>
      <c r="RCX116" s="1"/>
      <c r="RCY116" s="1"/>
      <c r="RCZ116" s="1"/>
      <c r="RDA116" s="1"/>
      <c r="RDB116" s="1"/>
      <c r="RDC116" s="1"/>
      <c r="RDD116" s="1"/>
      <c r="RDE116" s="1"/>
      <c r="RDF116" s="1"/>
      <c r="RDG116" s="1"/>
      <c r="RDH116" s="1"/>
      <c r="RDI116" s="1"/>
      <c r="RDJ116" s="1"/>
      <c r="RDK116" s="1"/>
      <c r="RDL116" s="1"/>
      <c r="RDM116" s="1"/>
      <c r="RDN116" s="1"/>
      <c r="RDO116" s="1"/>
      <c r="RDP116" s="1"/>
      <c r="RDQ116" s="1"/>
      <c r="RDR116" s="1"/>
      <c r="RDS116" s="1"/>
      <c r="RDT116" s="1"/>
      <c r="RDU116" s="1"/>
      <c r="RDV116" s="1"/>
      <c r="RDW116" s="1"/>
      <c r="RDX116" s="1"/>
      <c r="RDY116" s="1"/>
      <c r="RDZ116" s="1"/>
      <c r="REA116" s="1"/>
      <c r="REB116" s="1"/>
      <c r="REC116" s="1"/>
      <c r="RED116" s="1"/>
      <c r="REE116" s="1"/>
      <c r="REF116" s="1"/>
      <c r="REG116" s="1"/>
      <c r="REH116" s="1"/>
      <c r="REI116" s="1"/>
      <c r="REJ116" s="1"/>
      <c r="REK116" s="1"/>
      <c r="REL116" s="1"/>
      <c r="REM116" s="1"/>
      <c r="REN116" s="1"/>
      <c r="REO116" s="1"/>
      <c r="REP116" s="1"/>
      <c r="REQ116" s="1"/>
      <c r="RER116" s="1"/>
      <c r="RES116" s="1"/>
      <c r="RET116" s="1"/>
      <c r="REU116" s="1"/>
      <c r="REV116" s="1"/>
      <c r="REW116" s="1"/>
      <c r="REX116" s="1"/>
      <c r="REY116" s="1"/>
      <c r="REZ116" s="1"/>
      <c r="RFA116" s="1"/>
      <c r="RFB116" s="1"/>
      <c r="RFC116" s="1"/>
      <c r="RFD116" s="1"/>
      <c r="RFE116" s="1"/>
      <c r="RFF116" s="1"/>
      <c r="RFG116" s="1"/>
      <c r="RFH116" s="1"/>
      <c r="RFI116" s="1"/>
      <c r="RFJ116" s="1"/>
      <c r="RFK116" s="1"/>
      <c r="RFL116" s="1"/>
      <c r="RFM116" s="1"/>
      <c r="RFN116" s="1"/>
      <c r="RFO116" s="1"/>
      <c r="RFP116" s="1"/>
      <c r="RFQ116" s="1"/>
      <c r="RFR116" s="1"/>
      <c r="RFS116" s="1"/>
      <c r="RFT116" s="1"/>
      <c r="RFU116" s="1"/>
      <c r="RFV116" s="1"/>
      <c r="RFW116" s="1"/>
      <c r="RFX116" s="1"/>
      <c r="RFY116" s="1"/>
      <c r="RFZ116" s="1"/>
      <c r="RGA116" s="1"/>
      <c r="RGB116" s="1"/>
      <c r="RGC116" s="1"/>
      <c r="RGD116" s="1"/>
      <c r="RGE116" s="1"/>
      <c r="RGF116" s="1"/>
      <c r="RGG116" s="1"/>
      <c r="RGH116" s="1"/>
      <c r="RGI116" s="1"/>
      <c r="RGJ116" s="1"/>
      <c r="RGK116" s="1"/>
      <c r="RGL116" s="1"/>
      <c r="RGM116" s="1"/>
      <c r="RGN116" s="1"/>
      <c r="RGO116" s="1"/>
      <c r="RGP116" s="1"/>
      <c r="RGQ116" s="1"/>
      <c r="RGR116" s="1"/>
      <c r="RGS116" s="1"/>
      <c r="RGT116" s="1"/>
      <c r="RGU116" s="1"/>
      <c r="RGV116" s="1"/>
      <c r="RGW116" s="1"/>
      <c r="RGX116" s="1"/>
      <c r="RGY116" s="1"/>
      <c r="RGZ116" s="1"/>
      <c r="RHA116" s="1"/>
      <c r="RHB116" s="1"/>
      <c r="RHC116" s="1"/>
      <c r="RHD116" s="1"/>
      <c r="RHE116" s="1"/>
      <c r="RHF116" s="1"/>
      <c r="RHG116" s="1"/>
      <c r="RHH116" s="1"/>
      <c r="RHI116" s="1"/>
      <c r="RHJ116" s="1"/>
      <c r="RHK116" s="1"/>
      <c r="RHL116" s="1"/>
      <c r="RHM116" s="1"/>
      <c r="RHN116" s="1"/>
      <c r="RHO116" s="1"/>
      <c r="RHP116" s="1"/>
      <c r="RHQ116" s="1"/>
      <c r="RHR116" s="1"/>
      <c r="RHS116" s="1"/>
      <c r="RHT116" s="1"/>
      <c r="RHU116" s="1"/>
      <c r="RHV116" s="1"/>
      <c r="RHW116" s="1"/>
      <c r="RHX116" s="1"/>
      <c r="RHY116" s="1"/>
      <c r="RHZ116" s="1"/>
      <c r="RIA116" s="1"/>
      <c r="RIB116" s="1"/>
      <c r="RIC116" s="1"/>
      <c r="RID116" s="1"/>
      <c r="RIE116" s="1"/>
      <c r="RIF116" s="1"/>
      <c r="RIG116" s="1"/>
      <c r="RIH116" s="1"/>
      <c r="RII116" s="1"/>
      <c r="RIJ116" s="1"/>
      <c r="RIK116" s="1"/>
      <c r="RIL116" s="1"/>
      <c r="RIM116" s="1"/>
      <c r="RIN116" s="1"/>
      <c r="RIO116" s="1"/>
      <c r="RIP116" s="1"/>
      <c r="RIQ116" s="1"/>
      <c r="RIR116" s="1"/>
      <c r="RIS116" s="1"/>
      <c r="RIT116" s="1"/>
      <c r="RIU116" s="1"/>
      <c r="RIV116" s="1"/>
      <c r="RIW116" s="1"/>
      <c r="RIX116" s="1"/>
      <c r="RIY116" s="1"/>
      <c r="RIZ116" s="1"/>
      <c r="RJA116" s="1"/>
      <c r="RJB116" s="1"/>
      <c r="RJC116" s="1"/>
      <c r="RJD116" s="1"/>
      <c r="RJE116" s="1"/>
      <c r="RJF116" s="1"/>
      <c r="RJG116" s="1"/>
      <c r="RJH116" s="1"/>
      <c r="RJI116" s="1"/>
      <c r="RJJ116" s="1"/>
      <c r="RJK116" s="1"/>
      <c r="RJL116" s="1"/>
      <c r="RJM116" s="1"/>
      <c r="RJN116" s="1"/>
      <c r="RJO116" s="1"/>
      <c r="RJP116" s="1"/>
      <c r="RJQ116" s="1"/>
      <c r="RJR116" s="1"/>
      <c r="RJS116" s="1"/>
      <c r="RJT116" s="1"/>
      <c r="RJU116" s="1"/>
      <c r="RJV116" s="1"/>
      <c r="RJW116" s="1"/>
      <c r="RJX116" s="1"/>
      <c r="RJY116" s="1"/>
      <c r="RJZ116" s="1"/>
      <c r="RKA116" s="1"/>
      <c r="RKB116" s="1"/>
      <c r="RKC116" s="1"/>
      <c r="RKD116" s="1"/>
      <c r="RKE116" s="1"/>
      <c r="RKF116" s="1"/>
      <c r="RKG116" s="1"/>
      <c r="RKH116" s="1"/>
      <c r="RKI116" s="1"/>
      <c r="RKJ116" s="1"/>
      <c r="RKK116" s="1"/>
      <c r="RKL116" s="1"/>
      <c r="RKM116" s="1"/>
      <c r="RKN116" s="1"/>
      <c r="RKO116" s="1"/>
      <c r="RKP116" s="1"/>
      <c r="RKQ116" s="1"/>
      <c r="RKR116" s="1"/>
      <c r="RKS116" s="1"/>
      <c r="RKT116" s="1"/>
      <c r="RKU116" s="1"/>
      <c r="RKV116" s="1"/>
      <c r="RKW116" s="1"/>
      <c r="RKX116" s="1"/>
      <c r="RKY116" s="1"/>
      <c r="RKZ116" s="1"/>
      <c r="RLA116" s="1"/>
      <c r="RLB116" s="1"/>
      <c r="RLC116" s="1"/>
      <c r="RLD116" s="1"/>
      <c r="RLE116" s="1"/>
      <c r="RLF116" s="1"/>
      <c r="RLG116" s="1"/>
      <c r="RLH116" s="1"/>
      <c r="RLI116" s="1"/>
      <c r="RLJ116" s="1"/>
      <c r="RLK116" s="1"/>
      <c r="RLL116" s="1"/>
      <c r="RLM116" s="1"/>
      <c r="RLN116" s="1"/>
      <c r="RLO116" s="1"/>
      <c r="RLP116" s="1"/>
      <c r="RLQ116" s="1"/>
      <c r="RLR116" s="1"/>
      <c r="RLS116" s="1"/>
      <c r="RLT116" s="1"/>
      <c r="RLU116" s="1"/>
      <c r="RLV116" s="1"/>
      <c r="RLW116" s="1"/>
      <c r="RLX116" s="1"/>
      <c r="RLY116" s="1"/>
      <c r="RLZ116" s="1"/>
      <c r="RMA116" s="1"/>
      <c r="RMB116" s="1"/>
      <c r="RMC116" s="1"/>
      <c r="RMD116" s="1"/>
      <c r="RME116" s="1"/>
      <c r="RMF116" s="1"/>
      <c r="RMG116" s="1"/>
      <c r="RMH116" s="1"/>
      <c r="RMI116" s="1"/>
      <c r="RMJ116" s="1"/>
      <c r="RMK116" s="1"/>
      <c r="RML116" s="1"/>
      <c r="RMM116" s="1"/>
      <c r="RMN116" s="1"/>
      <c r="RMO116" s="1"/>
      <c r="RMP116" s="1"/>
      <c r="RMQ116" s="1"/>
      <c r="RMR116" s="1"/>
      <c r="RMS116" s="1"/>
      <c r="RMT116" s="1"/>
      <c r="RMU116" s="1"/>
      <c r="RMV116" s="1"/>
      <c r="RMW116" s="1"/>
      <c r="RMX116" s="1"/>
      <c r="RMY116" s="1"/>
      <c r="RMZ116" s="1"/>
      <c r="RNA116" s="1"/>
      <c r="RNB116" s="1"/>
      <c r="RNC116" s="1"/>
      <c r="RND116" s="1"/>
      <c r="RNE116" s="1"/>
      <c r="RNF116" s="1"/>
      <c r="RNG116" s="1"/>
      <c r="RNH116" s="1"/>
      <c r="RNI116" s="1"/>
      <c r="RNJ116" s="1"/>
      <c r="RNK116" s="1"/>
      <c r="RNL116" s="1"/>
      <c r="RNM116" s="1"/>
      <c r="RNN116" s="1"/>
      <c r="RNO116" s="1"/>
      <c r="RNP116" s="1"/>
      <c r="RNQ116" s="1"/>
      <c r="RNR116" s="1"/>
      <c r="RNS116" s="1"/>
      <c r="RNT116" s="1"/>
      <c r="RNU116" s="1"/>
      <c r="RNV116" s="1"/>
      <c r="RNW116" s="1"/>
      <c r="RNX116" s="1"/>
      <c r="RNY116" s="1"/>
      <c r="RNZ116" s="1"/>
      <c r="ROA116" s="1"/>
      <c r="ROB116" s="1"/>
      <c r="ROC116" s="1"/>
      <c r="ROD116" s="1"/>
      <c r="ROE116" s="1"/>
      <c r="ROF116" s="1"/>
      <c r="ROG116" s="1"/>
      <c r="ROH116" s="1"/>
      <c r="ROI116" s="1"/>
      <c r="ROJ116" s="1"/>
      <c r="ROK116" s="1"/>
      <c r="ROL116" s="1"/>
      <c r="ROM116" s="1"/>
      <c r="RON116" s="1"/>
      <c r="ROO116" s="1"/>
      <c r="ROP116" s="1"/>
      <c r="ROQ116" s="1"/>
      <c r="ROR116" s="1"/>
      <c r="ROS116" s="1"/>
      <c r="ROT116" s="1"/>
      <c r="ROU116" s="1"/>
      <c r="ROV116" s="1"/>
      <c r="ROW116" s="1"/>
      <c r="ROX116" s="1"/>
      <c r="ROY116" s="1"/>
      <c r="ROZ116" s="1"/>
      <c r="RPA116" s="1"/>
      <c r="RPB116" s="1"/>
      <c r="RPC116" s="1"/>
      <c r="RPD116" s="1"/>
      <c r="RPE116" s="1"/>
      <c r="RPF116" s="1"/>
      <c r="RPG116" s="1"/>
      <c r="RPH116" s="1"/>
      <c r="RPI116" s="1"/>
      <c r="RPJ116" s="1"/>
      <c r="RPK116" s="1"/>
      <c r="RPL116" s="1"/>
      <c r="RPM116" s="1"/>
      <c r="RPN116" s="1"/>
      <c r="RPO116" s="1"/>
      <c r="RPP116" s="1"/>
      <c r="RPQ116" s="1"/>
      <c r="RPR116" s="1"/>
      <c r="RPS116" s="1"/>
      <c r="RPT116" s="1"/>
      <c r="RPU116" s="1"/>
      <c r="RPV116" s="1"/>
      <c r="RPW116" s="1"/>
      <c r="RPX116" s="1"/>
      <c r="RPY116" s="1"/>
      <c r="RPZ116" s="1"/>
      <c r="RQA116" s="1"/>
      <c r="RQB116" s="1"/>
      <c r="RQC116" s="1"/>
      <c r="RQD116" s="1"/>
      <c r="RQE116" s="1"/>
      <c r="RQF116" s="1"/>
      <c r="RQG116" s="1"/>
      <c r="RQH116" s="1"/>
      <c r="RQI116" s="1"/>
      <c r="RQJ116" s="1"/>
      <c r="RQK116" s="1"/>
      <c r="RQL116" s="1"/>
      <c r="RQM116" s="1"/>
      <c r="RQN116" s="1"/>
      <c r="RQO116" s="1"/>
      <c r="RQP116" s="1"/>
      <c r="RQQ116" s="1"/>
      <c r="RQR116" s="1"/>
      <c r="RQS116" s="1"/>
      <c r="RQT116" s="1"/>
      <c r="RQU116" s="1"/>
      <c r="RQV116" s="1"/>
      <c r="RQW116" s="1"/>
      <c r="RQX116" s="1"/>
      <c r="RQY116" s="1"/>
      <c r="RQZ116" s="1"/>
      <c r="RRA116" s="1"/>
      <c r="RRB116" s="1"/>
      <c r="RRC116" s="1"/>
      <c r="RRD116" s="1"/>
      <c r="RRE116" s="1"/>
      <c r="RRF116" s="1"/>
      <c r="RRG116" s="1"/>
      <c r="RRH116" s="1"/>
      <c r="RRI116" s="1"/>
      <c r="RRJ116" s="1"/>
      <c r="RRK116" s="1"/>
      <c r="RRL116" s="1"/>
      <c r="RRM116" s="1"/>
      <c r="RRN116" s="1"/>
      <c r="RRO116" s="1"/>
      <c r="RRP116" s="1"/>
      <c r="RRQ116" s="1"/>
      <c r="RRR116" s="1"/>
      <c r="RRS116" s="1"/>
      <c r="RRT116" s="1"/>
      <c r="RRU116" s="1"/>
      <c r="RRV116" s="1"/>
      <c r="RRW116" s="1"/>
      <c r="RRX116" s="1"/>
      <c r="RRY116" s="1"/>
      <c r="RRZ116" s="1"/>
      <c r="RSA116" s="1"/>
      <c r="RSB116" s="1"/>
      <c r="RSC116" s="1"/>
      <c r="RSD116" s="1"/>
      <c r="RSE116" s="1"/>
      <c r="RSF116" s="1"/>
      <c r="RSG116" s="1"/>
      <c r="RSH116" s="1"/>
      <c r="RSI116" s="1"/>
      <c r="RSJ116" s="1"/>
      <c r="RSK116" s="1"/>
      <c r="RSL116" s="1"/>
      <c r="RSM116" s="1"/>
      <c r="RSN116" s="1"/>
      <c r="RSO116" s="1"/>
      <c r="RSP116" s="1"/>
      <c r="RSQ116" s="1"/>
      <c r="RSR116" s="1"/>
      <c r="RSS116" s="1"/>
      <c r="RST116" s="1"/>
      <c r="RSU116" s="1"/>
      <c r="RSV116" s="1"/>
      <c r="RSW116" s="1"/>
      <c r="RSX116" s="1"/>
      <c r="RSY116" s="1"/>
      <c r="RSZ116" s="1"/>
      <c r="RTA116" s="1"/>
      <c r="RTB116" s="1"/>
      <c r="RTC116" s="1"/>
      <c r="RTD116" s="1"/>
      <c r="RTE116" s="1"/>
      <c r="RTF116" s="1"/>
      <c r="RTG116" s="1"/>
      <c r="RTH116" s="1"/>
      <c r="RTI116" s="1"/>
      <c r="RTJ116" s="1"/>
      <c r="RTK116" s="1"/>
      <c r="RTL116" s="1"/>
      <c r="RTM116" s="1"/>
      <c r="RTN116" s="1"/>
      <c r="RTO116" s="1"/>
      <c r="RTP116" s="1"/>
      <c r="RTQ116" s="1"/>
      <c r="RTR116" s="1"/>
      <c r="RTS116" s="1"/>
      <c r="RTT116" s="1"/>
      <c r="RTU116" s="1"/>
      <c r="RTV116" s="1"/>
      <c r="RTW116" s="1"/>
      <c r="RTX116" s="1"/>
      <c r="RTY116" s="1"/>
      <c r="RTZ116" s="1"/>
      <c r="RUA116" s="1"/>
      <c r="RUB116" s="1"/>
      <c r="RUC116" s="1"/>
      <c r="RUD116" s="1"/>
      <c r="RUE116" s="1"/>
      <c r="RUF116" s="1"/>
      <c r="RUG116" s="1"/>
      <c r="RUH116" s="1"/>
      <c r="RUI116" s="1"/>
      <c r="RUJ116" s="1"/>
      <c r="RUK116" s="1"/>
      <c r="RUL116" s="1"/>
      <c r="RUM116" s="1"/>
      <c r="RUN116" s="1"/>
      <c r="RUO116" s="1"/>
      <c r="RUP116" s="1"/>
      <c r="RUQ116" s="1"/>
      <c r="RUR116" s="1"/>
      <c r="RUS116" s="1"/>
      <c r="RUT116" s="1"/>
      <c r="RUU116" s="1"/>
      <c r="RUV116" s="1"/>
      <c r="RUW116" s="1"/>
      <c r="RUX116" s="1"/>
      <c r="RUY116" s="1"/>
      <c r="RUZ116" s="1"/>
      <c r="RVA116" s="1"/>
      <c r="RVB116" s="1"/>
      <c r="RVC116" s="1"/>
      <c r="RVD116" s="1"/>
      <c r="RVE116" s="1"/>
      <c r="RVF116" s="1"/>
      <c r="RVG116" s="1"/>
      <c r="RVH116" s="1"/>
      <c r="RVI116" s="1"/>
      <c r="RVJ116" s="1"/>
      <c r="RVK116" s="1"/>
      <c r="RVL116" s="1"/>
      <c r="RVM116" s="1"/>
      <c r="RVN116" s="1"/>
      <c r="RVO116" s="1"/>
      <c r="RVP116" s="1"/>
      <c r="RVQ116" s="1"/>
      <c r="RVR116" s="1"/>
      <c r="RVS116" s="1"/>
      <c r="RVT116" s="1"/>
      <c r="RVU116" s="1"/>
      <c r="RVV116" s="1"/>
      <c r="RVW116" s="1"/>
      <c r="RVX116" s="1"/>
      <c r="RVY116" s="1"/>
      <c r="RVZ116" s="1"/>
      <c r="RWA116" s="1"/>
      <c r="RWB116" s="1"/>
      <c r="RWC116" s="1"/>
      <c r="RWD116" s="1"/>
      <c r="RWE116" s="1"/>
      <c r="RWF116" s="1"/>
      <c r="RWG116" s="1"/>
      <c r="RWH116" s="1"/>
      <c r="RWI116" s="1"/>
      <c r="RWJ116" s="1"/>
      <c r="RWK116" s="1"/>
      <c r="RWL116" s="1"/>
      <c r="RWM116" s="1"/>
      <c r="RWN116" s="1"/>
      <c r="RWO116" s="1"/>
      <c r="RWP116" s="1"/>
      <c r="RWQ116" s="1"/>
      <c r="RWR116" s="1"/>
      <c r="RWS116" s="1"/>
      <c r="RWT116" s="1"/>
      <c r="RWU116" s="1"/>
      <c r="RWV116" s="1"/>
      <c r="RWW116" s="1"/>
      <c r="RWX116" s="1"/>
      <c r="RWY116" s="1"/>
      <c r="RWZ116" s="1"/>
      <c r="RXA116" s="1"/>
      <c r="RXB116" s="1"/>
      <c r="RXC116" s="1"/>
      <c r="RXD116" s="1"/>
      <c r="RXE116" s="1"/>
      <c r="RXF116" s="1"/>
      <c r="RXG116" s="1"/>
      <c r="RXH116" s="1"/>
      <c r="RXI116" s="1"/>
      <c r="RXJ116" s="1"/>
      <c r="RXK116" s="1"/>
      <c r="RXL116" s="1"/>
      <c r="RXM116" s="1"/>
      <c r="RXN116" s="1"/>
      <c r="RXO116" s="1"/>
      <c r="RXP116" s="1"/>
      <c r="RXQ116" s="1"/>
      <c r="RXR116" s="1"/>
      <c r="RXS116" s="1"/>
      <c r="RXT116" s="1"/>
      <c r="RXU116" s="1"/>
      <c r="RXV116" s="1"/>
      <c r="RXW116" s="1"/>
      <c r="RXX116" s="1"/>
      <c r="RXY116" s="1"/>
      <c r="RXZ116" s="1"/>
      <c r="RYA116" s="1"/>
      <c r="RYB116" s="1"/>
      <c r="RYC116" s="1"/>
      <c r="RYD116" s="1"/>
      <c r="RYE116" s="1"/>
      <c r="RYF116" s="1"/>
      <c r="RYG116" s="1"/>
      <c r="RYH116" s="1"/>
      <c r="RYI116" s="1"/>
      <c r="RYJ116" s="1"/>
      <c r="RYK116" s="1"/>
      <c r="RYL116" s="1"/>
      <c r="RYM116" s="1"/>
      <c r="RYN116" s="1"/>
      <c r="RYO116" s="1"/>
      <c r="RYP116" s="1"/>
      <c r="RYQ116" s="1"/>
      <c r="RYR116" s="1"/>
      <c r="RYS116" s="1"/>
      <c r="RYT116" s="1"/>
      <c r="RYU116" s="1"/>
      <c r="RYV116" s="1"/>
      <c r="RYW116" s="1"/>
      <c r="RYX116" s="1"/>
      <c r="RYY116" s="1"/>
      <c r="RYZ116" s="1"/>
      <c r="RZA116" s="1"/>
      <c r="RZB116" s="1"/>
      <c r="RZC116" s="1"/>
      <c r="RZD116" s="1"/>
      <c r="RZE116" s="1"/>
      <c r="RZF116" s="1"/>
      <c r="RZG116" s="1"/>
      <c r="RZH116" s="1"/>
      <c r="RZI116" s="1"/>
      <c r="RZJ116" s="1"/>
      <c r="RZK116" s="1"/>
      <c r="RZL116" s="1"/>
      <c r="RZM116" s="1"/>
      <c r="RZN116" s="1"/>
      <c r="RZO116" s="1"/>
      <c r="RZP116" s="1"/>
      <c r="RZQ116" s="1"/>
      <c r="RZR116" s="1"/>
      <c r="RZS116" s="1"/>
      <c r="RZT116" s="1"/>
      <c r="RZU116" s="1"/>
      <c r="RZV116" s="1"/>
      <c r="RZW116" s="1"/>
      <c r="RZX116" s="1"/>
      <c r="RZY116" s="1"/>
      <c r="RZZ116" s="1"/>
      <c r="SAA116" s="1"/>
      <c r="SAB116" s="1"/>
      <c r="SAC116" s="1"/>
      <c r="SAD116" s="1"/>
      <c r="SAE116" s="1"/>
      <c r="SAF116" s="1"/>
      <c r="SAG116" s="1"/>
      <c r="SAH116" s="1"/>
      <c r="SAI116" s="1"/>
      <c r="SAJ116" s="1"/>
      <c r="SAK116" s="1"/>
      <c r="SAL116" s="1"/>
      <c r="SAM116" s="1"/>
      <c r="SAN116" s="1"/>
      <c r="SAO116" s="1"/>
      <c r="SAP116" s="1"/>
      <c r="SAQ116" s="1"/>
      <c r="SAR116" s="1"/>
      <c r="SAS116" s="1"/>
      <c r="SAT116" s="1"/>
      <c r="SAU116" s="1"/>
      <c r="SAV116" s="1"/>
      <c r="SAW116" s="1"/>
      <c r="SAX116" s="1"/>
      <c r="SAY116" s="1"/>
      <c r="SAZ116" s="1"/>
      <c r="SBA116" s="1"/>
      <c r="SBB116" s="1"/>
      <c r="SBC116" s="1"/>
      <c r="SBD116" s="1"/>
      <c r="SBE116" s="1"/>
      <c r="SBF116" s="1"/>
      <c r="SBG116" s="1"/>
      <c r="SBH116" s="1"/>
      <c r="SBI116" s="1"/>
      <c r="SBJ116" s="1"/>
      <c r="SBK116" s="1"/>
      <c r="SBL116" s="1"/>
      <c r="SBM116" s="1"/>
      <c r="SBN116" s="1"/>
      <c r="SBO116" s="1"/>
      <c r="SBP116" s="1"/>
      <c r="SBQ116" s="1"/>
      <c r="SBR116" s="1"/>
      <c r="SBS116" s="1"/>
      <c r="SBT116" s="1"/>
      <c r="SBU116" s="1"/>
      <c r="SBV116" s="1"/>
      <c r="SBW116" s="1"/>
      <c r="SBX116" s="1"/>
      <c r="SBY116" s="1"/>
      <c r="SBZ116" s="1"/>
      <c r="SCA116" s="1"/>
      <c r="SCB116" s="1"/>
      <c r="SCC116" s="1"/>
      <c r="SCD116" s="1"/>
      <c r="SCE116" s="1"/>
      <c r="SCF116" s="1"/>
      <c r="SCG116" s="1"/>
      <c r="SCH116" s="1"/>
      <c r="SCI116" s="1"/>
      <c r="SCJ116" s="1"/>
      <c r="SCK116" s="1"/>
      <c r="SCL116" s="1"/>
      <c r="SCM116" s="1"/>
      <c r="SCN116" s="1"/>
      <c r="SCO116" s="1"/>
      <c r="SCP116" s="1"/>
      <c r="SCQ116" s="1"/>
      <c r="SCR116" s="1"/>
      <c r="SCS116" s="1"/>
      <c r="SCT116" s="1"/>
      <c r="SCU116" s="1"/>
      <c r="SCV116" s="1"/>
      <c r="SCW116" s="1"/>
      <c r="SCX116" s="1"/>
      <c r="SCY116" s="1"/>
      <c r="SCZ116" s="1"/>
      <c r="SDA116" s="1"/>
      <c r="SDB116" s="1"/>
      <c r="SDC116" s="1"/>
      <c r="SDD116" s="1"/>
      <c r="SDE116" s="1"/>
      <c r="SDF116" s="1"/>
      <c r="SDG116" s="1"/>
      <c r="SDH116" s="1"/>
      <c r="SDI116" s="1"/>
      <c r="SDJ116" s="1"/>
      <c r="SDK116" s="1"/>
      <c r="SDL116" s="1"/>
      <c r="SDM116" s="1"/>
      <c r="SDN116" s="1"/>
      <c r="SDO116" s="1"/>
      <c r="SDP116" s="1"/>
      <c r="SDQ116" s="1"/>
      <c r="SDR116" s="1"/>
      <c r="SDS116" s="1"/>
      <c r="SDT116" s="1"/>
      <c r="SDU116" s="1"/>
      <c r="SDV116" s="1"/>
      <c r="SDW116" s="1"/>
      <c r="SDX116" s="1"/>
      <c r="SDY116" s="1"/>
      <c r="SDZ116" s="1"/>
      <c r="SEA116" s="1"/>
      <c r="SEB116" s="1"/>
      <c r="SEC116" s="1"/>
      <c r="SED116" s="1"/>
      <c r="SEE116" s="1"/>
      <c r="SEF116" s="1"/>
      <c r="SEG116" s="1"/>
      <c r="SEH116" s="1"/>
      <c r="SEI116" s="1"/>
      <c r="SEJ116" s="1"/>
      <c r="SEK116" s="1"/>
      <c r="SEL116" s="1"/>
      <c r="SEM116" s="1"/>
      <c r="SEN116" s="1"/>
      <c r="SEO116" s="1"/>
      <c r="SEP116" s="1"/>
      <c r="SEQ116" s="1"/>
      <c r="SER116" s="1"/>
      <c r="SES116" s="1"/>
      <c r="SET116" s="1"/>
      <c r="SEU116" s="1"/>
      <c r="SEV116" s="1"/>
      <c r="SEW116" s="1"/>
      <c r="SEX116" s="1"/>
      <c r="SEY116" s="1"/>
      <c r="SEZ116" s="1"/>
      <c r="SFA116" s="1"/>
      <c r="SFB116" s="1"/>
      <c r="SFC116" s="1"/>
      <c r="SFD116" s="1"/>
      <c r="SFE116" s="1"/>
      <c r="SFF116" s="1"/>
      <c r="SFG116" s="1"/>
      <c r="SFH116" s="1"/>
      <c r="SFI116" s="1"/>
      <c r="SFJ116" s="1"/>
      <c r="SFK116" s="1"/>
      <c r="SFL116" s="1"/>
      <c r="SFM116" s="1"/>
      <c r="SFN116" s="1"/>
      <c r="SFO116" s="1"/>
      <c r="SFP116" s="1"/>
      <c r="SFQ116" s="1"/>
      <c r="SFR116" s="1"/>
      <c r="SFS116" s="1"/>
      <c r="SFT116" s="1"/>
      <c r="SFU116" s="1"/>
      <c r="SFV116" s="1"/>
      <c r="SFW116" s="1"/>
      <c r="SFX116" s="1"/>
      <c r="SFY116" s="1"/>
      <c r="SFZ116" s="1"/>
      <c r="SGA116" s="1"/>
      <c r="SGB116" s="1"/>
      <c r="SGC116" s="1"/>
      <c r="SGD116" s="1"/>
      <c r="SGE116" s="1"/>
      <c r="SGF116" s="1"/>
      <c r="SGG116" s="1"/>
      <c r="SGH116" s="1"/>
      <c r="SGI116" s="1"/>
      <c r="SGJ116" s="1"/>
      <c r="SGK116" s="1"/>
      <c r="SGL116" s="1"/>
      <c r="SGM116" s="1"/>
      <c r="SGN116" s="1"/>
      <c r="SGO116" s="1"/>
      <c r="SGP116" s="1"/>
      <c r="SGQ116" s="1"/>
      <c r="SGR116" s="1"/>
      <c r="SGS116" s="1"/>
      <c r="SGT116" s="1"/>
      <c r="SGU116" s="1"/>
      <c r="SGV116" s="1"/>
      <c r="SGW116" s="1"/>
      <c r="SGX116" s="1"/>
      <c r="SGY116" s="1"/>
      <c r="SGZ116" s="1"/>
      <c r="SHA116" s="1"/>
      <c r="SHB116" s="1"/>
      <c r="SHC116" s="1"/>
      <c r="SHD116" s="1"/>
      <c r="SHE116" s="1"/>
      <c r="SHF116" s="1"/>
      <c r="SHG116" s="1"/>
      <c r="SHH116" s="1"/>
      <c r="SHI116" s="1"/>
      <c r="SHJ116" s="1"/>
      <c r="SHK116" s="1"/>
      <c r="SHL116" s="1"/>
      <c r="SHM116" s="1"/>
      <c r="SHN116" s="1"/>
      <c r="SHO116" s="1"/>
      <c r="SHP116" s="1"/>
      <c r="SHQ116" s="1"/>
      <c r="SHR116" s="1"/>
      <c r="SHS116" s="1"/>
      <c r="SHT116" s="1"/>
      <c r="SHU116" s="1"/>
      <c r="SHV116" s="1"/>
      <c r="SHW116" s="1"/>
      <c r="SHX116" s="1"/>
      <c r="SHY116" s="1"/>
      <c r="SHZ116" s="1"/>
      <c r="SIA116" s="1"/>
      <c r="SIB116" s="1"/>
      <c r="SIC116" s="1"/>
      <c r="SID116" s="1"/>
      <c r="SIE116" s="1"/>
      <c r="SIF116" s="1"/>
      <c r="SIG116" s="1"/>
      <c r="SIH116" s="1"/>
      <c r="SII116" s="1"/>
      <c r="SIJ116" s="1"/>
      <c r="SIK116" s="1"/>
      <c r="SIL116" s="1"/>
      <c r="SIM116" s="1"/>
      <c r="SIN116" s="1"/>
      <c r="SIO116" s="1"/>
      <c r="SIP116" s="1"/>
      <c r="SIQ116" s="1"/>
      <c r="SIR116" s="1"/>
      <c r="SIS116" s="1"/>
      <c r="SIT116" s="1"/>
      <c r="SIU116" s="1"/>
      <c r="SIV116" s="1"/>
      <c r="SIW116" s="1"/>
      <c r="SIX116" s="1"/>
      <c r="SIY116" s="1"/>
      <c r="SIZ116" s="1"/>
      <c r="SJA116" s="1"/>
      <c r="SJB116" s="1"/>
      <c r="SJC116" s="1"/>
      <c r="SJD116" s="1"/>
      <c r="SJE116" s="1"/>
      <c r="SJF116" s="1"/>
      <c r="SJG116" s="1"/>
      <c r="SJH116" s="1"/>
      <c r="SJI116" s="1"/>
      <c r="SJJ116" s="1"/>
      <c r="SJK116" s="1"/>
      <c r="SJL116" s="1"/>
      <c r="SJM116" s="1"/>
      <c r="SJN116" s="1"/>
      <c r="SJO116" s="1"/>
      <c r="SJP116" s="1"/>
      <c r="SJQ116" s="1"/>
      <c r="SJR116" s="1"/>
      <c r="SJS116" s="1"/>
      <c r="SJT116" s="1"/>
      <c r="SJU116" s="1"/>
      <c r="SJV116" s="1"/>
      <c r="SJW116" s="1"/>
      <c r="SJX116" s="1"/>
      <c r="SJY116" s="1"/>
      <c r="SJZ116" s="1"/>
      <c r="SKA116" s="1"/>
      <c r="SKB116" s="1"/>
      <c r="SKC116" s="1"/>
      <c r="SKD116" s="1"/>
      <c r="SKE116" s="1"/>
      <c r="SKF116" s="1"/>
      <c r="SKG116" s="1"/>
      <c r="SKH116" s="1"/>
      <c r="SKI116" s="1"/>
      <c r="SKJ116" s="1"/>
      <c r="SKK116" s="1"/>
      <c r="SKL116" s="1"/>
      <c r="SKM116" s="1"/>
      <c r="SKN116" s="1"/>
      <c r="SKO116" s="1"/>
      <c r="SKP116" s="1"/>
      <c r="SKQ116" s="1"/>
      <c r="SKR116" s="1"/>
      <c r="SKS116" s="1"/>
      <c r="SKT116" s="1"/>
      <c r="SKU116" s="1"/>
      <c r="SKV116" s="1"/>
      <c r="SKW116" s="1"/>
      <c r="SKX116" s="1"/>
      <c r="SKY116" s="1"/>
      <c r="SKZ116" s="1"/>
      <c r="SLA116" s="1"/>
      <c r="SLB116" s="1"/>
      <c r="SLC116" s="1"/>
      <c r="SLD116" s="1"/>
      <c r="SLE116" s="1"/>
      <c r="SLF116" s="1"/>
      <c r="SLG116" s="1"/>
      <c r="SLH116" s="1"/>
      <c r="SLI116" s="1"/>
      <c r="SLJ116" s="1"/>
      <c r="SLK116" s="1"/>
      <c r="SLL116" s="1"/>
      <c r="SLM116" s="1"/>
      <c r="SLN116" s="1"/>
      <c r="SLO116" s="1"/>
      <c r="SLP116" s="1"/>
      <c r="SLQ116" s="1"/>
      <c r="SLR116" s="1"/>
      <c r="SLS116" s="1"/>
      <c r="SLT116" s="1"/>
      <c r="SLU116" s="1"/>
      <c r="SLV116" s="1"/>
      <c r="SLW116" s="1"/>
      <c r="SLX116" s="1"/>
      <c r="SLY116" s="1"/>
      <c r="SLZ116" s="1"/>
      <c r="SMA116" s="1"/>
      <c r="SMB116" s="1"/>
      <c r="SMC116" s="1"/>
      <c r="SMD116" s="1"/>
      <c r="SME116" s="1"/>
      <c r="SMF116" s="1"/>
      <c r="SMG116" s="1"/>
      <c r="SMH116" s="1"/>
      <c r="SMI116" s="1"/>
      <c r="SMJ116" s="1"/>
      <c r="SMK116" s="1"/>
      <c r="SML116" s="1"/>
      <c r="SMM116" s="1"/>
      <c r="SMN116" s="1"/>
      <c r="SMO116" s="1"/>
      <c r="SMP116" s="1"/>
      <c r="SMQ116" s="1"/>
      <c r="SMR116" s="1"/>
      <c r="SMS116" s="1"/>
      <c r="SMT116" s="1"/>
      <c r="SMU116" s="1"/>
      <c r="SMV116" s="1"/>
      <c r="SMW116" s="1"/>
      <c r="SMX116" s="1"/>
      <c r="SMY116" s="1"/>
      <c r="SMZ116" s="1"/>
      <c r="SNA116" s="1"/>
      <c r="SNB116" s="1"/>
      <c r="SNC116" s="1"/>
      <c r="SND116" s="1"/>
      <c r="SNE116" s="1"/>
      <c r="SNF116" s="1"/>
      <c r="SNG116" s="1"/>
      <c r="SNH116" s="1"/>
      <c r="SNI116" s="1"/>
      <c r="SNJ116" s="1"/>
      <c r="SNK116" s="1"/>
      <c r="SNL116" s="1"/>
      <c r="SNM116" s="1"/>
      <c r="SNN116" s="1"/>
      <c r="SNO116" s="1"/>
      <c r="SNP116" s="1"/>
      <c r="SNQ116" s="1"/>
      <c r="SNR116" s="1"/>
      <c r="SNS116" s="1"/>
      <c r="SNT116" s="1"/>
      <c r="SNU116" s="1"/>
      <c r="SNV116" s="1"/>
      <c r="SNW116" s="1"/>
      <c r="SNX116" s="1"/>
      <c r="SNY116" s="1"/>
      <c r="SNZ116" s="1"/>
      <c r="SOA116" s="1"/>
      <c r="SOB116" s="1"/>
      <c r="SOC116" s="1"/>
      <c r="SOD116" s="1"/>
      <c r="SOE116" s="1"/>
      <c r="SOF116" s="1"/>
      <c r="SOG116" s="1"/>
      <c r="SOH116" s="1"/>
      <c r="SOI116" s="1"/>
      <c r="SOJ116" s="1"/>
      <c r="SOK116" s="1"/>
      <c r="SOL116" s="1"/>
      <c r="SOM116" s="1"/>
      <c r="SON116" s="1"/>
      <c r="SOO116" s="1"/>
      <c r="SOP116" s="1"/>
      <c r="SOQ116" s="1"/>
      <c r="SOR116" s="1"/>
      <c r="SOS116" s="1"/>
      <c r="SOT116" s="1"/>
      <c r="SOU116" s="1"/>
      <c r="SOV116" s="1"/>
      <c r="SOW116" s="1"/>
      <c r="SOX116" s="1"/>
      <c r="SOY116" s="1"/>
      <c r="SOZ116" s="1"/>
      <c r="SPA116" s="1"/>
      <c r="SPB116" s="1"/>
      <c r="SPC116" s="1"/>
      <c r="SPD116" s="1"/>
      <c r="SPE116" s="1"/>
      <c r="SPF116" s="1"/>
      <c r="SPG116" s="1"/>
      <c r="SPH116" s="1"/>
      <c r="SPI116" s="1"/>
      <c r="SPJ116" s="1"/>
      <c r="SPK116" s="1"/>
      <c r="SPL116" s="1"/>
      <c r="SPM116" s="1"/>
      <c r="SPN116" s="1"/>
      <c r="SPO116" s="1"/>
      <c r="SPP116" s="1"/>
      <c r="SPQ116" s="1"/>
      <c r="SPR116" s="1"/>
      <c r="SPS116" s="1"/>
      <c r="SPT116" s="1"/>
      <c r="SPU116" s="1"/>
      <c r="SPV116" s="1"/>
      <c r="SPW116" s="1"/>
      <c r="SPX116" s="1"/>
      <c r="SPY116" s="1"/>
      <c r="SPZ116" s="1"/>
      <c r="SQA116" s="1"/>
      <c r="SQB116" s="1"/>
      <c r="SQC116" s="1"/>
      <c r="SQD116" s="1"/>
      <c r="SQE116" s="1"/>
      <c r="SQF116" s="1"/>
      <c r="SQG116" s="1"/>
      <c r="SQH116" s="1"/>
      <c r="SQI116" s="1"/>
      <c r="SQJ116" s="1"/>
      <c r="SQK116" s="1"/>
      <c r="SQL116" s="1"/>
      <c r="SQM116" s="1"/>
      <c r="SQN116" s="1"/>
      <c r="SQO116" s="1"/>
      <c r="SQP116" s="1"/>
      <c r="SQQ116" s="1"/>
      <c r="SQR116" s="1"/>
      <c r="SQS116" s="1"/>
      <c r="SQT116" s="1"/>
      <c r="SQU116" s="1"/>
      <c r="SQV116" s="1"/>
      <c r="SQW116" s="1"/>
      <c r="SQX116" s="1"/>
      <c r="SQY116" s="1"/>
      <c r="SQZ116" s="1"/>
      <c r="SRA116" s="1"/>
      <c r="SRB116" s="1"/>
      <c r="SRC116" s="1"/>
      <c r="SRD116" s="1"/>
      <c r="SRE116" s="1"/>
      <c r="SRF116" s="1"/>
      <c r="SRG116" s="1"/>
      <c r="SRH116" s="1"/>
      <c r="SRI116" s="1"/>
      <c r="SRJ116" s="1"/>
      <c r="SRK116" s="1"/>
      <c r="SRL116" s="1"/>
      <c r="SRM116" s="1"/>
      <c r="SRN116" s="1"/>
      <c r="SRO116" s="1"/>
      <c r="SRP116" s="1"/>
      <c r="SRQ116" s="1"/>
      <c r="SRR116" s="1"/>
      <c r="SRS116" s="1"/>
      <c r="SRT116" s="1"/>
      <c r="SRU116" s="1"/>
      <c r="SRV116" s="1"/>
      <c r="SRW116" s="1"/>
      <c r="SRX116" s="1"/>
      <c r="SRY116" s="1"/>
      <c r="SRZ116" s="1"/>
      <c r="SSA116" s="1"/>
      <c r="SSB116" s="1"/>
      <c r="SSC116" s="1"/>
      <c r="SSD116" s="1"/>
      <c r="SSE116" s="1"/>
      <c r="SSF116" s="1"/>
      <c r="SSG116" s="1"/>
      <c r="SSH116" s="1"/>
      <c r="SSI116" s="1"/>
      <c r="SSJ116" s="1"/>
      <c r="SSK116" s="1"/>
      <c r="SSL116" s="1"/>
      <c r="SSM116" s="1"/>
      <c r="SSN116" s="1"/>
      <c r="SSO116" s="1"/>
      <c r="SSP116" s="1"/>
      <c r="SSQ116" s="1"/>
      <c r="SSR116" s="1"/>
      <c r="SSS116" s="1"/>
      <c r="SST116" s="1"/>
      <c r="SSU116" s="1"/>
      <c r="SSV116" s="1"/>
      <c r="SSW116" s="1"/>
      <c r="SSX116" s="1"/>
      <c r="SSY116" s="1"/>
      <c r="SSZ116" s="1"/>
      <c r="STA116" s="1"/>
      <c r="STB116" s="1"/>
      <c r="STC116" s="1"/>
      <c r="STD116" s="1"/>
      <c r="STE116" s="1"/>
      <c r="STF116" s="1"/>
      <c r="STG116" s="1"/>
      <c r="STH116" s="1"/>
      <c r="STI116" s="1"/>
      <c r="STJ116" s="1"/>
      <c r="STK116" s="1"/>
      <c r="STL116" s="1"/>
      <c r="STM116" s="1"/>
      <c r="STN116" s="1"/>
      <c r="STO116" s="1"/>
      <c r="STP116" s="1"/>
      <c r="STQ116" s="1"/>
      <c r="STR116" s="1"/>
      <c r="STS116" s="1"/>
      <c r="STT116" s="1"/>
      <c r="STU116" s="1"/>
      <c r="STV116" s="1"/>
      <c r="STW116" s="1"/>
      <c r="STX116" s="1"/>
      <c r="STY116" s="1"/>
      <c r="STZ116" s="1"/>
      <c r="SUA116" s="1"/>
      <c r="SUB116" s="1"/>
      <c r="SUC116" s="1"/>
      <c r="SUD116" s="1"/>
      <c r="SUE116" s="1"/>
      <c r="SUF116" s="1"/>
      <c r="SUG116" s="1"/>
      <c r="SUH116" s="1"/>
      <c r="SUI116" s="1"/>
      <c r="SUJ116" s="1"/>
      <c r="SUK116" s="1"/>
      <c r="SUL116" s="1"/>
      <c r="SUM116" s="1"/>
      <c r="SUN116" s="1"/>
      <c r="SUO116" s="1"/>
      <c r="SUP116" s="1"/>
      <c r="SUQ116" s="1"/>
      <c r="SUR116" s="1"/>
      <c r="SUS116" s="1"/>
      <c r="SUT116" s="1"/>
      <c r="SUU116" s="1"/>
      <c r="SUV116" s="1"/>
      <c r="SUW116" s="1"/>
      <c r="SUX116" s="1"/>
      <c r="SUY116" s="1"/>
      <c r="SUZ116" s="1"/>
      <c r="SVA116" s="1"/>
      <c r="SVB116" s="1"/>
      <c r="SVC116" s="1"/>
      <c r="SVD116" s="1"/>
      <c r="SVE116" s="1"/>
      <c r="SVF116" s="1"/>
      <c r="SVG116" s="1"/>
      <c r="SVH116" s="1"/>
      <c r="SVI116" s="1"/>
      <c r="SVJ116" s="1"/>
      <c r="SVK116" s="1"/>
      <c r="SVL116" s="1"/>
      <c r="SVM116" s="1"/>
      <c r="SVN116" s="1"/>
      <c r="SVO116" s="1"/>
      <c r="SVP116" s="1"/>
      <c r="SVQ116" s="1"/>
      <c r="SVR116" s="1"/>
      <c r="SVS116" s="1"/>
      <c r="SVT116" s="1"/>
      <c r="SVU116" s="1"/>
      <c r="SVV116" s="1"/>
      <c r="SVW116" s="1"/>
      <c r="SVX116" s="1"/>
      <c r="SVY116" s="1"/>
      <c r="SVZ116" s="1"/>
      <c r="SWA116" s="1"/>
      <c r="SWB116" s="1"/>
      <c r="SWC116" s="1"/>
      <c r="SWD116" s="1"/>
      <c r="SWE116" s="1"/>
      <c r="SWF116" s="1"/>
      <c r="SWG116" s="1"/>
      <c r="SWH116" s="1"/>
      <c r="SWI116" s="1"/>
      <c r="SWJ116" s="1"/>
      <c r="SWK116" s="1"/>
      <c r="SWL116" s="1"/>
      <c r="SWM116" s="1"/>
      <c r="SWN116" s="1"/>
      <c r="SWO116" s="1"/>
      <c r="SWP116" s="1"/>
      <c r="SWQ116" s="1"/>
      <c r="SWR116" s="1"/>
      <c r="SWS116" s="1"/>
      <c r="SWT116" s="1"/>
      <c r="SWU116" s="1"/>
      <c r="SWV116" s="1"/>
      <c r="SWW116" s="1"/>
      <c r="SWX116" s="1"/>
      <c r="SWY116" s="1"/>
      <c r="SWZ116" s="1"/>
      <c r="SXA116" s="1"/>
      <c r="SXB116" s="1"/>
      <c r="SXC116" s="1"/>
      <c r="SXD116" s="1"/>
      <c r="SXE116" s="1"/>
      <c r="SXF116" s="1"/>
      <c r="SXG116" s="1"/>
      <c r="SXH116" s="1"/>
      <c r="SXI116" s="1"/>
      <c r="SXJ116" s="1"/>
      <c r="SXK116" s="1"/>
      <c r="SXL116" s="1"/>
      <c r="SXM116" s="1"/>
      <c r="SXN116" s="1"/>
      <c r="SXO116" s="1"/>
      <c r="SXP116" s="1"/>
      <c r="SXQ116" s="1"/>
      <c r="SXR116" s="1"/>
      <c r="SXS116" s="1"/>
      <c r="SXT116" s="1"/>
      <c r="SXU116" s="1"/>
      <c r="SXV116" s="1"/>
      <c r="SXW116" s="1"/>
      <c r="SXX116" s="1"/>
      <c r="SXY116" s="1"/>
      <c r="SXZ116" s="1"/>
      <c r="SYA116" s="1"/>
      <c r="SYB116" s="1"/>
      <c r="SYC116" s="1"/>
      <c r="SYD116" s="1"/>
      <c r="SYE116" s="1"/>
      <c r="SYF116" s="1"/>
      <c r="SYG116" s="1"/>
      <c r="SYH116" s="1"/>
      <c r="SYI116" s="1"/>
      <c r="SYJ116" s="1"/>
      <c r="SYK116" s="1"/>
      <c r="SYL116" s="1"/>
      <c r="SYM116" s="1"/>
      <c r="SYN116" s="1"/>
      <c r="SYO116" s="1"/>
      <c r="SYP116" s="1"/>
      <c r="SYQ116" s="1"/>
      <c r="SYR116" s="1"/>
      <c r="SYS116" s="1"/>
      <c r="SYT116" s="1"/>
      <c r="SYU116" s="1"/>
      <c r="SYV116" s="1"/>
      <c r="SYW116" s="1"/>
      <c r="SYX116" s="1"/>
      <c r="SYY116" s="1"/>
      <c r="SYZ116" s="1"/>
      <c r="SZA116" s="1"/>
      <c r="SZB116" s="1"/>
      <c r="SZC116" s="1"/>
      <c r="SZD116" s="1"/>
      <c r="SZE116" s="1"/>
      <c r="SZF116" s="1"/>
      <c r="SZG116" s="1"/>
      <c r="SZH116" s="1"/>
      <c r="SZI116" s="1"/>
      <c r="SZJ116" s="1"/>
      <c r="SZK116" s="1"/>
      <c r="SZL116" s="1"/>
      <c r="SZM116" s="1"/>
      <c r="SZN116" s="1"/>
      <c r="SZO116" s="1"/>
      <c r="SZP116" s="1"/>
      <c r="SZQ116" s="1"/>
      <c r="SZR116" s="1"/>
      <c r="SZS116" s="1"/>
      <c r="SZT116" s="1"/>
      <c r="SZU116" s="1"/>
      <c r="SZV116" s="1"/>
      <c r="SZW116" s="1"/>
      <c r="SZX116" s="1"/>
      <c r="SZY116" s="1"/>
      <c r="SZZ116" s="1"/>
      <c r="TAA116" s="1"/>
      <c r="TAB116" s="1"/>
      <c r="TAC116" s="1"/>
      <c r="TAD116" s="1"/>
      <c r="TAE116" s="1"/>
      <c r="TAF116" s="1"/>
      <c r="TAG116" s="1"/>
      <c r="TAH116" s="1"/>
      <c r="TAI116" s="1"/>
      <c r="TAJ116" s="1"/>
      <c r="TAK116" s="1"/>
      <c r="TAL116" s="1"/>
      <c r="TAM116" s="1"/>
      <c r="TAN116" s="1"/>
      <c r="TAO116" s="1"/>
      <c r="TAP116" s="1"/>
      <c r="TAQ116" s="1"/>
      <c r="TAR116" s="1"/>
      <c r="TAS116" s="1"/>
      <c r="TAT116" s="1"/>
      <c r="TAU116" s="1"/>
      <c r="TAV116" s="1"/>
      <c r="TAW116" s="1"/>
      <c r="TAX116" s="1"/>
      <c r="TAY116" s="1"/>
      <c r="TAZ116" s="1"/>
      <c r="TBA116" s="1"/>
      <c r="TBB116" s="1"/>
      <c r="TBC116" s="1"/>
      <c r="TBD116" s="1"/>
      <c r="TBE116" s="1"/>
      <c r="TBF116" s="1"/>
      <c r="TBG116" s="1"/>
      <c r="TBH116" s="1"/>
      <c r="TBI116" s="1"/>
      <c r="TBJ116" s="1"/>
      <c r="TBK116" s="1"/>
      <c r="TBL116" s="1"/>
      <c r="TBM116" s="1"/>
      <c r="TBN116" s="1"/>
      <c r="TBO116" s="1"/>
      <c r="TBP116" s="1"/>
      <c r="TBQ116" s="1"/>
      <c r="TBR116" s="1"/>
      <c r="TBS116" s="1"/>
      <c r="TBT116" s="1"/>
      <c r="TBU116" s="1"/>
      <c r="TBV116" s="1"/>
      <c r="TBW116" s="1"/>
      <c r="TBX116" s="1"/>
      <c r="TBY116" s="1"/>
      <c r="TBZ116" s="1"/>
      <c r="TCA116" s="1"/>
      <c r="TCB116" s="1"/>
      <c r="TCC116" s="1"/>
      <c r="TCD116" s="1"/>
      <c r="TCE116" s="1"/>
      <c r="TCF116" s="1"/>
      <c r="TCG116" s="1"/>
      <c r="TCH116" s="1"/>
      <c r="TCI116" s="1"/>
      <c r="TCJ116" s="1"/>
      <c r="TCK116" s="1"/>
      <c r="TCL116" s="1"/>
      <c r="TCM116" s="1"/>
      <c r="TCN116" s="1"/>
      <c r="TCO116" s="1"/>
      <c r="TCP116" s="1"/>
      <c r="TCQ116" s="1"/>
      <c r="TCR116" s="1"/>
      <c r="TCS116" s="1"/>
      <c r="TCT116" s="1"/>
      <c r="TCU116" s="1"/>
      <c r="TCV116" s="1"/>
      <c r="TCW116" s="1"/>
      <c r="TCX116" s="1"/>
      <c r="TCY116" s="1"/>
      <c r="TCZ116" s="1"/>
      <c r="TDA116" s="1"/>
      <c r="TDB116" s="1"/>
      <c r="TDC116" s="1"/>
      <c r="TDD116" s="1"/>
      <c r="TDE116" s="1"/>
      <c r="TDF116" s="1"/>
      <c r="TDG116" s="1"/>
      <c r="TDH116" s="1"/>
      <c r="TDI116" s="1"/>
      <c r="TDJ116" s="1"/>
      <c r="TDK116" s="1"/>
      <c r="TDL116" s="1"/>
      <c r="TDM116" s="1"/>
      <c r="TDN116" s="1"/>
      <c r="TDO116" s="1"/>
      <c r="TDP116" s="1"/>
      <c r="TDQ116" s="1"/>
      <c r="TDR116" s="1"/>
      <c r="TDS116" s="1"/>
      <c r="TDT116" s="1"/>
      <c r="TDU116" s="1"/>
      <c r="TDV116" s="1"/>
      <c r="TDW116" s="1"/>
      <c r="TDX116" s="1"/>
      <c r="TDY116" s="1"/>
      <c r="TDZ116" s="1"/>
      <c r="TEA116" s="1"/>
      <c r="TEB116" s="1"/>
      <c r="TEC116" s="1"/>
      <c r="TED116" s="1"/>
      <c r="TEE116" s="1"/>
      <c r="TEF116" s="1"/>
      <c r="TEG116" s="1"/>
      <c r="TEH116" s="1"/>
      <c r="TEI116" s="1"/>
      <c r="TEJ116" s="1"/>
      <c r="TEK116" s="1"/>
      <c r="TEL116" s="1"/>
      <c r="TEM116" s="1"/>
      <c r="TEN116" s="1"/>
      <c r="TEO116" s="1"/>
      <c r="TEP116" s="1"/>
      <c r="TEQ116" s="1"/>
      <c r="TER116" s="1"/>
      <c r="TES116" s="1"/>
      <c r="TET116" s="1"/>
      <c r="TEU116" s="1"/>
      <c r="TEV116" s="1"/>
      <c r="TEW116" s="1"/>
      <c r="TEX116" s="1"/>
      <c r="TEY116" s="1"/>
      <c r="TEZ116" s="1"/>
      <c r="TFA116" s="1"/>
      <c r="TFB116" s="1"/>
      <c r="TFC116" s="1"/>
      <c r="TFD116" s="1"/>
      <c r="TFE116" s="1"/>
      <c r="TFF116" s="1"/>
      <c r="TFG116" s="1"/>
      <c r="TFH116" s="1"/>
      <c r="TFI116" s="1"/>
      <c r="TFJ116" s="1"/>
      <c r="TFK116" s="1"/>
      <c r="TFL116" s="1"/>
      <c r="TFM116" s="1"/>
      <c r="TFN116" s="1"/>
      <c r="TFO116" s="1"/>
      <c r="TFP116" s="1"/>
      <c r="TFQ116" s="1"/>
      <c r="TFR116" s="1"/>
      <c r="TFS116" s="1"/>
      <c r="TFT116" s="1"/>
      <c r="TFU116" s="1"/>
      <c r="TFV116" s="1"/>
      <c r="TFW116" s="1"/>
      <c r="TFX116" s="1"/>
      <c r="TFY116" s="1"/>
      <c r="TFZ116" s="1"/>
      <c r="TGA116" s="1"/>
      <c r="TGB116" s="1"/>
      <c r="TGC116" s="1"/>
      <c r="TGD116" s="1"/>
      <c r="TGE116" s="1"/>
      <c r="TGF116" s="1"/>
      <c r="TGG116" s="1"/>
      <c r="TGH116" s="1"/>
      <c r="TGI116" s="1"/>
      <c r="TGJ116" s="1"/>
      <c r="TGK116" s="1"/>
      <c r="TGL116" s="1"/>
      <c r="TGM116" s="1"/>
      <c r="TGN116" s="1"/>
      <c r="TGO116" s="1"/>
      <c r="TGP116" s="1"/>
      <c r="TGQ116" s="1"/>
      <c r="TGR116" s="1"/>
      <c r="TGS116" s="1"/>
      <c r="TGT116" s="1"/>
      <c r="TGU116" s="1"/>
      <c r="TGV116" s="1"/>
      <c r="TGW116" s="1"/>
      <c r="TGX116" s="1"/>
      <c r="TGY116" s="1"/>
      <c r="TGZ116" s="1"/>
      <c r="THA116" s="1"/>
      <c r="THB116" s="1"/>
      <c r="THC116" s="1"/>
      <c r="THD116" s="1"/>
      <c r="THE116" s="1"/>
      <c r="THF116" s="1"/>
      <c r="THG116" s="1"/>
      <c r="THH116" s="1"/>
      <c r="THI116" s="1"/>
      <c r="THJ116" s="1"/>
      <c r="THK116" s="1"/>
      <c r="THL116" s="1"/>
      <c r="THM116" s="1"/>
      <c r="THN116" s="1"/>
      <c r="THO116" s="1"/>
      <c r="THP116" s="1"/>
      <c r="THQ116" s="1"/>
      <c r="THR116" s="1"/>
      <c r="THS116" s="1"/>
      <c r="THT116" s="1"/>
      <c r="THU116" s="1"/>
      <c r="THV116" s="1"/>
      <c r="THW116" s="1"/>
      <c r="THX116" s="1"/>
      <c r="THY116" s="1"/>
      <c r="THZ116" s="1"/>
      <c r="TIA116" s="1"/>
      <c r="TIB116" s="1"/>
      <c r="TIC116" s="1"/>
      <c r="TID116" s="1"/>
      <c r="TIE116" s="1"/>
      <c r="TIF116" s="1"/>
      <c r="TIG116" s="1"/>
      <c r="TIH116" s="1"/>
      <c r="TII116" s="1"/>
      <c r="TIJ116" s="1"/>
      <c r="TIK116" s="1"/>
      <c r="TIL116" s="1"/>
      <c r="TIM116" s="1"/>
      <c r="TIN116" s="1"/>
      <c r="TIO116" s="1"/>
      <c r="TIP116" s="1"/>
      <c r="TIQ116" s="1"/>
      <c r="TIR116" s="1"/>
      <c r="TIS116" s="1"/>
      <c r="TIT116" s="1"/>
      <c r="TIU116" s="1"/>
      <c r="TIV116" s="1"/>
      <c r="TIW116" s="1"/>
      <c r="TIX116" s="1"/>
      <c r="TIY116" s="1"/>
      <c r="TIZ116" s="1"/>
      <c r="TJA116" s="1"/>
      <c r="TJB116" s="1"/>
      <c r="TJC116" s="1"/>
      <c r="TJD116" s="1"/>
      <c r="TJE116" s="1"/>
      <c r="TJF116" s="1"/>
      <c r="TJG116" s="1"/>
      <c r="TJH116" s="1"/>
      <c r="TJI116" s="1"/>
      <c r="TJJ116" s="1"/>
      <c r="TJK116" s="1"/>
      <c r="TJL116" s="1"/>
      <c r="TJM116" s="1"/>
      <c r="TJN116" s="1"/>
      <c r="TJO116" s="1"/>
      <c r="TJP116" s="1"/>
      <c r="TJQ116" s="1"/>
      <c r="TJR116" s="1"/>
      <c r="TJS116" s="1"/>
      <c r="TJT116" s="1"/>
      <c r="TJU116" s="1"/>
      <c r="TJV116" s="1"/>
      <c r="TJW116" s="1"/>
      <c r="TJX116" s="1"/>
      <c r="TJY116" s="1"/>
      <c r="TJZ116" s="1"/>
      <c r="TKA116" s="1"/>
      <c r="TKB116" s="1"/>
      <c r="TKC116" s="1"/>
      <c r="TKD116" s="1"/>
      <c r="TKE116" s="1"/>
      <c r="TKF116" s="1"/>
      <c r="TKG116" s="1"/>
      <c r="TKH116" s="1"/>
      <c r="TKI116" s="1"/>
      <c r="TKJ116" s="1"/>
      <c r="TKK116" s="1"/>
      <c r="TKL116" s="1"/>
      <c r="TKM116" s="1"/>
      <c r="TKN116" s="1"/>
      <c r="TKO116" s="1"/>
      <c r="TKP116" s="1"/>
      <c r="TKQ116" s="1"/>
      <c r="TKR116" s="1"/>
      <c r="TKS116" s="1"/>
      <c r="TKT116" s="1"/>
      <c r="TKU116" s="1"/>
      <c r="TKV116" s="1"/>
      <c r="TKW116" s="1"/>
      <c r="TKX116" s="1"/>
      <c r="TKY116" s="1"/>
      <c r="TKZ116" s="1"/>
      <c r="TLA116" s="1"/>
      <c r="TLB116" s="1"/>
      <c r="TLC116" s="1"/>
      <c r="TLD116" s="1"/>
      <c r="TLE116" s="1"/>
      <c r="TLF116" s="1"/>
      <c r="TLG116" s="1"/>
      <c r="TLH116" s="1"/>
      <c r="TLI116" s="1"/>
      <c r="TLJ116" s="1"/>
      <c r="TLK116" s="1"/>
      <c r="TLL116" s="1"/>
      <c r="TLM116" s="1"/>
      <c r="TLN116" s="1"/>
      <c r="TLO116" s="1"/>
      <c r="TLP116" s="1"/>
      <c r="TLQ116" s="1"/>
      <c r="TLR116" s="1"/>
      <c r="TLS116" s="1"/>
      <c r="TLT116" s="1"/>
      <c r="TLU116" s="1"/>
      <c r="TLV116" s="1"/>
      <c r="TLW116" s="1"/>
      <c r="TLX116" s="1"/>
      <c r="TLY116" s="1"/>
      <c r="TLZ116" s="1"/>
      <c r="TMA116" s="1"/>
      <c r="TMB116" s="1"/>
      <c r="TMC116" s="1"/>
      <c r="TMD116" s="1"/>
      <c r="TME116" s="1"/>
      <c r="TMF116" s="1"/>
      <c r="TMG116" s="1"/>
      <c r="TMH116" s="1"/>
      <c r="TMI116" s="1"/>
      <c r="TMJ116" s="1"/>
      <c r="TMK116" s="1"/>
      <c r="TML116" s="1"/>
      <c r="TMM116" s="1"/>
      <c r="TMN116" s="1"/>
      <c r="TMO116" s="1"/>
      <c r="TMP116" s="1"/>
      <c r="TMQ116" s="1"/>
      <c r="TMR116" s="1"/>
      <c r="TMS116" s="1"/>
      <c r="TMT116" s="1"/>
      <c r="TMU116" s="1"/>
      <c r="TMV116" s="1"/>
      <c r="TMW116" s="1"/>
      <c r="TMX116" s="1"/>
      <c r="TMY116" s="1"/>
      <c r="TMZ116" s="1"/>
      <c r="TNA116" s="1"/>
      <c r="TNB116" s="1"/>
      <c r="TNC116" s="1"/>
      <c r="TND116" s="1"/>
      <c r="TNE116" s="1"/>
      <c r="TNF116" s="1"/>
      <c r="TNG116" s="1"/>
      <c r="TNH116" s="1"/>
      <c r="TNI116" s="1"/>
      <c r="TNJ116" s="1"/>
      <c r="TNK116" s="1"/>
      <c r="TNL116" s="1"/>
      <c r="TNM116" s="1"/>
      <c r="TNN116" s="1"/>
      <c r="TNO116" s="1"/>
      <c r="TNP116" s="1"/>
      <c r="TNQ116" s="1"/>
      <c r="TNR116" s="1"/>
      <c r="TNS116" s="1"/>
      <c r="TNT116" s="1"/>
      <c r="TNU116" s="1"/>
      <c r="TNV116" s="1"/>
      <c r="TNW116" s="1"/>
      <c r="TNX116" s="1"/>
      <c r="TNY116" s="1"/>
      <c r="TNZ116" s="1"/>
      <c r="TOA116" s="1"/>
      <c r="TOB116" s="1"/>
      <c r="TOC116" s="1"/>
      <c r="TOD116" s="1"/>
      <c r="TOE116" s="1"/>
      <c r="TOF116" s="1"/>
      <c r="TOG116" s="1"/>
      <c r="TOH116" s="1"/>
      <c r="TOI116" s="1"/>
      <c r="TOJ116" s="1"/>
      <c r="TOK116" s="1"/>
      <c r="TOL116" s="1"/>
      <c r="TOM116" s="1"/>
      <c r="TON116" s="1"/>
      <c r="TOO116" s="1"/>
      <c r="TOP116" s="1"/>
      <c r="TOQ116" s="1"/>
      <c r="TOR116" s="1"/>
      <c r="TOS116" s="1"/>
      <c r="TOT116" s="1"/>
      <c r="TOU116" s="1"/>
      <c r="TOV116" s="1"/>
      <c r="TOW116" s="1"/>
      <c r="TOX116" s="1"/>
      <c r="TOY116" s="1"/>
      <c r="TOZ116" s="1"/>
      <c r="TPA116" s="1"/>
      <c r="TPB116" s="1"/>
      <c r="TPC116" s="1"/>
      <c r="TPD116" s="1"/>
      <c r="TPE116" s="1"/>
      <c r="TPF116" s="1"/>
      <c r="TPG116" s="1"/>
      <c r="TPH116" s="1"/>
      <c r="TPI116" s="1"/>
      <c r="TPJ116" s="1"/>
      <c r="TPK116" s="1"/>
      <c r="TPL116" s="1"/>
      <c r="TPM116" s="1"/>
      <c r="TPN116" s="1"/>
      <c r="TPO116" s="1"/>
      <c r="TPP116" s="1"/>
      <c r="TPQ116" s="1"/>
      <c r="TPR116" s="1"/>
      <c r="TPS116" s="1"/>
      <c r="TPT116" s="1"/>
      <c r="TPU116" s="1"/>
      <c r="TPV116" s="1"/>
      <c r="TPW116" s="1"/>
      <c r="TPX116" s="1"/>
      <c r="TPY116" s="1"/>
      <c r="TPZ116" s="1"/>
      <c r="TQA116" s="1"/>
      <c r="TQB116" s="1"/>
      <c r="TQC116" s="1"/>
      <c r="TQD116" s="1"/>
      <c r="TQE116" s="1"/>
      <c r="TQF116" s="1"/>
      <c r="TQG116" s="1"/>
      <c r="TQH116" s="1"/>
      <c r="TQI116" s="1"/>
      <c r="TQJ116" s="1"/>
      <c r="TQK116" s="1"/>
      <c r="TQL116" s="1"/>
      <c r="TQM116" s="1"/>
      <c r="TQN116" s="1"/>
      <c r="TQO116" s="1"/>
      <c r="TQP116" s="1"/>
      <c r="TQQ116" s="1"/>
      <c r="TQR116" s="1"/>
      <c r="TQS116" s="1"/>
      <c r="TQT116" s="1"/>
      <c r="TQU116" s="1"/>
      <c r="TQV116" s="1"/>
      <c r="TQW116" s="1"/>
      <c r="TQX116" s="1"/>
      <c r="TQY116" s="1"/>
      <c r="TQZ116" s="1"/>
      <c r="TRA116" s="1"/>
      <c r="TRB116" s="1"/>
      <c r="TRC116" s="1"/>
      <c r="TRD116" s="1"/>
      <c r="TRE116" s="1"/>
      <c r="TRF116" s="1"/>
      <c r="TRG116" s="1"/>
      <c r="TRH116" s="1"/>
      <c r="TRI116" s="1"/>
      <c r="TRJ116" s="1"/>
      <c r="TRK116" s="1"/>
      <c r="TRL116" s="1"/>
      <c r="TRM116" s="1"/>
      <c r="TRN116" s="1"/>
      <c r="TRO116" s="1"/>
      <c r="TRP116" s="1"/>
      <c r="TRQ116" s="1"/>
      <c r="TRR116" s="1"/>
      <c r="TRS116" s="1"/>
      <c r="TRT116" s="1"/>
      <c r="TRU116" s="1"/>
      <c r="TRV116" s="1"/>
      <c r="TRW116" s="1"/>
      <c r="TRX116" s="1"/>
      <c r="TRY116" s="1"/>
      <c r="TRZ116" s="1"/>
      <c r="TSA116" s="1"/>
      <c r="TSB116" s="1"/>
      <c r="TSC116" s="1"/>
      <c r="TSD116" s="1"/>
      <c r="TSE116" s="1"/>
      <c r="TSF116" s="1"/>
      <c r="TSG116" s="1"/>
      <c r="TSH116" s="1"/>
      <c r="TSI116" s="1"/>
      <c r="TSJ116" s="1"/>
      <c r="TSK116" s="1"/>
      <c r="TSL116" s="1"/>
      <c r="TSM116" s="1"/>
      <c r="TSN116" s="1"/>
      <c r="TSO116" s="1"/>
      <c r="TSP116" s="1"/>
      <c r="TSQ116" s="1"/>
      <c r="TSR116" s="1"/>
      <c r="TSS116" s="1"/>
      <c r="TST116" s="1"/>
      <c r="TSU116" s="1"/>
      <c r="TSV116" s="1"/>
      <c r="TSW116" s="1"/>
      <c r="TSX116" s="1"/>
      <c r="TSY116" s="1"/>
      <c r="TSZ116" s="1"/>
      <c r="TTA116" s="1"/>
      <c r="TTB116" s="1"/>
      <c r="TTC116" s="1"/>
      <c r="TTD116" s="1"/>
      <c r="TTE116" s="1"/>
      <c r="TTF116" s="1"/>
      <c r="TTG116" s="1"/>
      <c r="TTH116" s="1"/>
      <c r="TTI116" s="1"/>
      <c r="TTJ116" s="1"/>
      <c r="TTK116" s="1"/>
      <c r="TTL116" s="1"/>
      <c r="TTM116" s="1"/>
      <c r="TTN116" s="1"/>
      <c r="TTO116" s="1"/>
      <c r="TTP116" s="1"/>
      <c r="TTQ116" s="1"/>
      <c r="TTR116" s="1"/>
      <c r="TTS116" s="1"/>
      <c r="TTT116" s="1"/>
      <c r="TTU116" s="1"/>
      <c r="TTV116" s="1"/>
      <c r="TTW116" s="1"/>
      <c r="TTX116" s="1"/>
      <c r="TTY116" s="1"/>
      <c r="TTZ116" s="1"/>
      <c r="TUA116" s="1"/>
      <c r="TUB116" s="1"/>
      <c r="TUC116" s="1"/>
      <c r="TUD116" s="1"/>
      <c r="TUE116" s="1"/>
      <c r="TUF116" s="1"/>
      <c r="TUG116" s="1"/>
      <c r="TUH116" s="1"/>
      <c r="TUI116" s="1"/>
      <c r="TUJ116" s="1"/>
      <c r="TUK116" s="1"/>
      <c r="TUL116" s="1"/>
      <c r="TUM116" s="1"/>
      <c r="TUN116" s="1"/>
      <c r="TUO116" s="1"/>
      <c r="TUP116" s="1"/>
      <c r="TUQ116" s="1"/>
      <c r="TUR116" s="1"/>
      <c r="TUS116" s="1"/>
      <c r="TUT116" s="1"/>
      <c r="TUU116" s="1"/>
      <c r="TUV116" s="1"/>
      <c r="TUW116" s="1"/>
      <c r="TUX116" s="1"/>
      <c r="TUY116" s="1"/>
      <c r="TUZ116" s="1"/>
      <c r="TVA116" s="1"/>
      <c r="TVB116" s="1"/>
      <c r="TVC116" s="1"/>
      <c r="TVD116" s="1"/>
      <c r="TVE116" s="1"/>
      <c r="TVF116" s="1"/>
      <c r="TVG116" s="1"/>
      <c r="TVH116" s="1"/>
      <c r="TVI116" s="1"/>
      <c r="TVJ116" s="1"/>
      <c r="TVK116" s="1"/>
      <c r="TVL116" s="1"/>
      <c r="TVM116" s="1"/>
      <c r="TVN116" s="1"/>
      <c r="TVO116" s="1"/>
      <c r="TVP116" s="1"/>
      <c r="TVQ116" s="1"/>
      <c r="TVR116" s="1"/>
      <c r="TVS116" s="1"/>
      <c r="TVT116" s="1"/>
      <c r="TVU116" s="1"/>
      <c r="TVV116" s="1"/>
      <c r="TVW116" s="1"/>
      <c r="TVX116" s="1"/>
      <c r="TVY116" s="1"/>
      <c r="TVZ116" s="1"/>
      <c r="TWA116" s="1"/>
      <c r="TWB116" s="1"/>
      <c r="TWC116" s="1"/>
      <c r="TWD116" s="1"/>
      <c r="TWE116" s="1"/>
      <c r="TWF116" s="1"/>
      <c r="TWG116" s="1"/>
      <c r="TWH116" s="1"/>
      <c r="TWI116" s="1"/>
      <c r="TWJ116" s="1"/>
      <c r="TWK116" s="1"/>
      <c r="TWL116" s="1"/>
      <c r="TWM116" s="1"/>
      <c r="TWN116" s="1"/>
      <c r="TWO116" s="1"/>
      <c r="TWP116" s="1"/>
      <c r="TWQ116" s="1"/>
      <c r="TWR116" s="1"/>
      <c r="TWS116" s="1"/>
      <c r="TWT116" s="1"/>
      <c r="TWU116" s="1"/>
      <c r="TWV116" s="1"/>
      <c r="TWW116" s="1"/>
      <c r="TWX116" s="1"/>
      <c r="TWY116" s="1"/>
      <c r="TWZ116" s="1"/>
      <c r="TXA116" s="1"/>
      <c r="TXB116" s="1"/>
      <c r="TXC116" s="1"/>
      <c r="TXD116" s="1"/>
      <c r="TXE116" s="1"/>
      <c r="TXF116" s="1"/>
      <c r="TXG116" s="1"/>
      <c r="TXH116" s="1"/>
      <c r="TXI116" s="1"/>
      <c r="TXJ116" s="1"/>
      <c r="TXK116" s="1"/>
      <c r="TXL116" s="1"/>
      <c r="TXM116" s="1"/>
      <c r="TXN116" s="1"/>
      <c r="TXO116" s="1"/>
      <c r="TXP116" s="1"/>
      <c r="TXQ116" s="1"/>
      <c r="TXR116" s="1"/>
      <c r="TXS116" s="1"/>
      <c r="TXT116" s="1"/>
      <c r="TXU116" s="1"/>
      <c r="TXV116" s="1"/>
      <c r="TXW116" s="1"/>
      <c r="TXX116" s="1"/>
      <c r="TXY116" s="1"/>
      <c r="TXZ116" s="1"/>
      <c r="TYA116" s="1"/>
      <c r="TYB116" s="1"/>
      <c r="TYC116" s="1"/>
      <c r="TYD116" s="1"/>
      <c r="TYE116" s="1"/>
      <c r="TYF116" s="1"/>
      <c r="TYG116" s="1"/>
      <c r="TYH116" s="1"/>
      <c r="TYI116" s="1"/>
      <c r="TYJ116" s="1"/>
      <c r="TYK116" s="1"/>
      <c r="TYL116" s="1"/>
      <c r="TYM116" s="1"/>
      <c r="TYN116" s="1"/>
      <c r="TYO116" s="1"/>
      <c r="TYP116" s="1"/>
      <c r="TYQ116" s="1"/>
      <c r="TYR116" s="1"/>
      <c r="TYS116" s="1"/>
      <c r="TYT116" s="1"/>
      <c r="TYU116" s="1"/>
      <c r="TYV116" s="1"/>
      <c r="TYW116" s="1"/>
      <c r="TYX116" s="1"/>
      <c r="TYY116" s="1"/>
      <c r="TYZ116" s="1"/>
      <c r="TZA116" s="1"/>
      <c r="TZB116" s="1"/>
      <c r="TZC116" s="1"/>
      <c r="TZD116" s="1"/>
      <c r="TZE116" s="1"/>
      <c r="TZF116" s="1"/>
      <c r="TZG116" s="1"/>
      <c r="TZH116" s="1"/>
      <c r="TZI116" s="1"/>
      <c r="TZJ116" s="1"/>
      <c r="TZK116" s="1"/>
      <c r="TZL116" s="1"/>
      <c r="TZM116" s="1"/>
      <c r="TZN116" s="1"/>
      <c r="TZO116" s="1"/>
      <c r="TZP116" s="1"/>
      <c r="TZQ116" s="1"/>
      <c r="TZR116" s="1"/>
      <c r="TZS116" s="1"/>
      <c r="TZT116" s="1"/>
      <c r="TZU116" s="1"/>
      <c r="TZV116" s="1"/>
      <c r="TZW116" s="1"/>
      <c r="TZX116" s="1"/>
      <c r="TZY116" s="1"/>
      <c r="TZZ116" s="1"/>
      <c r="UAA116" s="1"/>
      <c r="UAB116" s="1"/>
      <c r="UAC116" s="1"/>
      <c r="UAD116" s="1"/>
      <c r="UAE116" s="1"/>
      <c r="UAF116" s="1"/>
      <c r="UAG116" s="1"/>
      <c r="UAH116" s="1"/>
      <c r="UAI116" s="1"/>
      <c r="UAJ116" s="1"/>
      <c r="UAK116" s="1"/>
      <c r="UAL116" s="1"/>
      <c r="UAM116" s="1"/>
      <c r="UAN116" s="1"/>
      <c r="UAO116" s="1"/>
      <c r="UAP116" s="1"/>
      <c r="UAQ116" s="1"/>
      <c r="UAR116" s="1"/>
      <c r="UAS116" s="1"/>
      <c r="UAT116" s="1"/>
      <c r="UAU116" s="1"/>
      <c r="UAV116" s="1"/>
      <c r="UAW116" s="1"/>
      <c r="UAX116" s="1"/>
      <c r="UAY116" s="1"/>
      <c r="UAZ116" s="1"/>
      <c r="UBA116" s="1"/>
      <c r="UBB116" s="1"/>
      <c r="UBC116" s="1"/>
      <c r="UBD116" s="1"/>
      <c r="UBE116" s="1"/>
      <c r="UBF116" s="1"/>
      <c r="UBG116" s="1"/>
      <c r="UBH116" s="1"/>
      <c r="UBI116" s="1"/>
      <c r="UBJ116" s="1"/>
      <c r="UBK116" s="1"/>
      <c r="UBL116" s="1"/>
      <c r="UBM116" s="1"/>
      <c r="UBN116" s="1"/>
      <c r="UBO116" s="1"/>
      <c r="UBP116" s="1"/>
      <c r="UBQ116" s="1"/>
      <c r="UBR116" s="1"/>
      <c r="UBS116" s="1"/>
      <c r="UBT116" s="1"/>
      <c r="UBU116" s="1"/>
      <c r="UBV116" s="1"/>
      <c r="UBW116" s="1"/>
      <c r="UBX116" s="1"/>
      <c r="UBY116" s="1"/>
      <c r="UBZ116" s="1"/>
      <c r="UCA116" s="1"/>
      <c r="UCB116" s="1"/>
      <c r="UCC116" s="1"/>
      <c r="UCD116" s="1"/>
      <c r="UCE116" s="1"/>
      <c r="UCF116" s="1"/>
      <c r="UCG116" s="1"/>
      <c r="UCH116" s="1"/>
      <c r="UCI116" s="1"/>
      <c r="UCJ116" s="1"/>
      <c r="UCK116" s="1"/>
      <c r="UCL116" s="1"/>
      <c r="UCM116" s="1"/>
      <c r="UCN116" s="1"/>
      <c r="UCO116" s="1"/>
      <c r="UCP116" s="1"/>
      <c r="UCQ116" s="1"/>
      <c r="UCR116" s="1"/>
      <c r="UCS116" s="1"/>
      <c r="UCT116" s="1"/>
      <c r="UCU116" s="1"/>
      <c r="UCV116" s="1"/>
      <c r="UCW116" s="1"/>
      <c r="UCX116" s="1"/>
      <c r="UCY116" s="1"/>
      <c r="UCZ116" s="1"/>
      <c r="UDA116" s="1"/>
      <c r="UDB116" s="1"/>
      <c r="UDC116" s="1"/>
      <c r="UDD116" s="1"/>
      <c r="UDE116" s="1"/>
      <c r="UDF116" s="1"/>
      <c r="UDG116" s="1"/>
      <c r="UDH116" s="1"/>
      <c r="UDI116" s="1"/>
      <c r="UDJ116" s="1"/>
      <c r="UDK116" s="1"/>
      <c r="UDL116" s="1"/>
      <c r="UDM116" s="1"/>
      <c r="UDN116" s="1"/>
      <c r="UDO116" s="1"/>
      <c r="UDP116" s="1"/>
      <c r="UDQ116" s="1"/>
      <c r="UDR116" s="1"/>
      <c r="UDS116" s="1"/>
      <c r="UDT116" s="1"/>
      <c r="UDU116" s="1"/>
      <c r="UDV116" s="1"/>
      <c r="UDW116" s="1"/>
      <c r="UDX116" s="1"/>
      <c r="UDY116" s="1"/>
      <c r="UDZ116" s="1"/>
      <c r="UEA116" s="1"/>
      <c r="UEB116" s="1"/>
      <c r="UEC116" s="1"/>
      <c r="UED116" s="1"/>
      <c r="UEE116" s="1"/>
      <c r="UEF116" s="1"/>
      <c r="UEG116" s="1"/>
      <c r="UEH116" s="1"/>
      <c r="UEI116" s="1"/>
      <c r="UEJ116" s="1"/>
      <c r="UEK116" s="1"/>
      <c r="UEL116" s="1"/>
      <c r="UEM116" s="1"/>
      <c r="UEN116" s="1"/>
      <c r="UEO116" s="1"/>
      <c r="UEP116" s="1"/>
      <c r="UEQ116" s="1"/>
      <c r="UER116" s="1"/>
      <c r="UES116" s="1"/>
      <c r="UET116" s="1"/>
      <c r="UEU116" s="1"/>
      <c r="UEV116" s="1"/>
      <c r="UEW116" s="1"/>
      <c r="UEX116" s="1"/>
      <c r="UEY116" s="1"/>
      <c r="UEZ116" s="1"/>
      <c r="UFA116" s="1"/>
      <c r="UFB116" s="1"/>
      <c r="UFC116" s="1"/>
      <c r="UFD116" s="1"/>
      <c r="UFE116" s="1"/>
      <c r="UFF116" s="1"/>
      <c r="UFG116" s="1"/>
      <c r="UFH116" s="1"/>
      <c r="UFI116" s="1"/>
      <c r="UFJ116" s="1"/>
      <c r="UFK116" s="1"/>
      <c r="UFL116" s="1"/>
      <c r="UFM116" s="1"/>
      <c r="UFN116" s="1"/>
      <c r="UFO116" s="1"/>
      <c r="UFP116" s="1"/>
      <c r="UFQ116" s="1"/>
      <c r="UFR116" s="1"/>
      <c r="UFS116" s="1"/>
      <c r="UFT116" s="1"/>
      <c r="UFU116" s="1"/>
      <c r="UFV116" s="1"/>
      <c r="UFW116" s="1"/>
      <c r="UFX116" s="1"/>
      <c r="UFY116" s="1"/>
      <c r="UFZ116" s="1"/>
      <c r="UGA116" s="1"/>
      <c r="UGB116" s="1"/>
      <c r="UGC116" s="1"/>
      <c r="UGD116" s="1"/>
      <c r="UGE116" s="1"/>
      <c r="UGF116" s="1"/>
      <c r="UGG116" s="1"/>
      <c r="UGH116" s="1"/>
      <c r="UGI116" s="1"/>
      <c r="UGJ116" s="1"/>
      <c r="UGK116" s="1"/>
      <c r="UGL116" s="1"/>
      <c r="UGM116" s="1"/>
      <c r="UGN116" s="1"/>
      <c r="UGO116" s="1"/>
      <c r="UGP116" s="1"/>
      <c r="UGQ116" s="1"/>
      <c r="UGR116" s="1"/>
      <c r="UGS116" s="1"/>
      <c r="UGT116" s="1"/>
      <c r="UGU116" s="1"/>
      <c r="UGV116" s="1"/>
      <c r="UGW116" s="1"/>
      <c r="UGX116" s="1"/>
      <c r="UGY116" s="1"/>
      <c r="UGZ116" s="1"/>
      <c r="UHA116" s="1"/>
      <c r="UHB116" s="1"/>
      <c r="UHC116" s="1"/>
      <c r="UHD116" s="1"/>
      <c r="UHE116" s="1"/>
      <c r="UHF116" s="1"/>
      <c r="UHG116" s="1"/>
      <c r="UHH116" s="1"/>
      <c r="UHI116" s="1"/>
      <c r="UHJ116" s="1"/>
      <c r="UHK116" s="1"/>
      <c r="UHL116" s="1"/>
      <c r="UHM116" s="1"/>
      <c r="UHN116" s="1"/>
      <c r="UHO116" s="1"/>
      <c r="UHP116" s="1"/>
      <c r="UHQ116" s="1"/>
      <c r="UHR116" s="1"/>
      <c r="UHS116" s="1"/>
      <c r="UHT116" s="1"/>
      <c r="UHU116" s="1"/>
      <c r="UHV116" s="1"/>
      <c r="UHW116" s="1"/>
      <c r="UHX116" s="1"/>
      <c r="UHY116" s="1"/>
      <c r="UHZ116" s="1"/>
      <c r="UIA116" s="1"/>
      <c r="UIB116" s="1"/>
      <c r="UIC116" s="1"/>
      <c r="UID116" s="1"/>
      <c r="UIE116" s="1"/>
      <c r="UIF116" s="1"/>
      <c r="UIG116" s="1"/>
      <c r="UIH116" s="1"/>
      <c r="UII116" s="1"/>
      <c r="UIJ116" s="1"/>
      <c r="UIK116" s="1"/>
      <c r="UIL116" s="1"/>
      <c r="UIM116" s="1"/>
      <c r="UIN116" s="1"/>
      <c r="UIO116" s="1"/>
      <c r="UIP116" s="1"/>
      <c r="UIQ116" s="1"/>
      <c r="UIR116" s="1"/>
      <c r="UIS116" s="1"/>
      <c r="UIT116" s="1"/>
      <c r="UIU116" s="1"/>
      <c r="UIV116" s="1"/>
      <c r="UIW116" s="1"/>
      <c r="UIX116" s="1"/>
      <c r="UIY116" s="1"/>
      <c r="UIZ116" s="1"/>
      <c r="UJA116" s="1"/>
      <c r="UJB116" s="1"/>
      <c r="UJC116" s="1"/>
      <c r="UJD116" s="1"/>
      <c r="UJE116" s="1"/>
      <c r="UJF116" s="1"/>
      <c r="UJG116" s="1"/>
      <c r="UJH116" s="1"/>
      <c r="UJI116" s="1"/>
      <c r="UJJ116" s="1"/>
      <c r="UJK116" s="1"/>
      <c r="UJL116" s="1"/>
      <c r="UJM116" s="1"/>
      <c r="UJN116" s="1"/>
      <c r="UJO116" s="1"/>
      <c r="UJP116" s="1"/>
      <c r="UJQ116" s="1"/>
      <c r="UJR116" s="1"/>
      <c r="UJS116" s="1"/>
      <c r="UJT116" s="1"/>
      <c r="UJU116" s="1"/>
      <c r="UJV116" s="1"/>
      <c r="UJW116" s="1"/>
      <c r="UJX116" s="1"/>
      <c r="UJY116" s="1"/>
      <c r="UJZ116" s="1"/>
      <c r="UKA116" s="1"/>
      <c r="UKB116" s="1"/>
      <c r="UKC116" s="1"/>
      <c r="UKD116" s="1"/>
      <c r="UKE116" s="1"/>
      <c r="UKF116" s="1"/>
      <c r="UKG116" s="1"/>
      <c r="UKH116" s="1"/>
      <c r="UKI116" s="1"/>
      <c r="UKJ116" s="1"/>
      <c r="UKK116" s="1"/>
      <c r="UKL116" s="1"/>
      <c r="UKM116" s="1"/>
      <c r="UKN116" s="1"/>
      <c r="UKO116" s="1"/>
      <c r="UKP116" s="1"/>
      <c r="UKQ116" s="1"/>
      <c r="UKR116" s="1"/>
      <c r="UKS116" s="1"/>
      <c r="UKT116" s="1"/>
      <c r="UKU116" s="1"/>
      <c r="UKV116" s="1"/>
      <c r="UKW116" s="1"/>
      <c r="UKX116" s="1"/>
      <c r="UKY116" s="1"/>
      <c r="UKZ116" s="1"/>
      <c r="ULA116" s="1"/>
      <c r="ULB116" s="1"/>
      <c r="ULC116" s="1"/>
      <c r="ULD116" s="1"/>
      <c r="ULE116" s="1"/>
      <c r="ULF116" s="1"/>
      <c r="ULG116" s="1"/>
      <c r="ULH116" s="1"/>
      <c r="ULI116" s="1"/>
      <c r="ULJ116" s="1"/>
      <c r="ULK116" s="1"/>
      <c r="ULL116" s="1"/>
      <c r="ULM116" s="1"/>
      <c r="ULN116" s="1"/>
      <c r="ULO116" s="1"/>
      <c r="ULP116" s="1"/>
      <c r="ULQ116" s="1"/>
      <c r="ULR116" s="1"/>
      <c r="ULS116" s="1"/>
      <c r="ULT116" s="1"/>
      <c r="ULU116" s="1"/>
      <c r="ULV116" s="1"/>
      <c r="ULW116" s="1"/>
      <c r="ULX116" s="1"/>
      <c r="ULY116" s="1"/>
      <c r="ULZ116" s="1"/>
      <c r="UMA116" s="1"/>
      <c r="UMB116" s="1"/>
      <c r="UMC116" s="1"/>
      <c r="UMD116" s="1"/>
      <c r="UME116" s="1"/>
      <c r="UMF116" s="1"/>
      <c r="UMG116" s="1"/>
      <c r="UMH116" s="1"/>
      <c r="UMI116" s="1"/>
      <c r="UMJ116" s="1"/>
      <c r="UMK116" s="1"/>
      <c r="UML116" s="1"/>
      <c r="UMM116" s="1"/>
      <c r="UMN116" s="1"/>
      <c r="UMO116" s="1"/>
      <c r="UMP116" s="1"/>
      <c r="UMQ116" s="1"/>
      <c r="UMR116" s="1"/>
      <c r="UMS116" s="1"/>
      <c r="UMT116" s="1"/>
      <c r="UMU116" s="1"/>
      <c r="UMV116" s="1"/>
      <c r="UMW116" s="1"/>
      <c r="UMX116" s="1"/>
      <c r="UMY116" s="1"/>
      <c r="UMZ116" s="1"/>
      <c r="UNA116" s="1"/>
      <c r="UNB116" s="1"/>
      <c r="UNC116" s="1"/>
      <c r="UND116" s="1"/>
      <c r="UNE116" s="1"/>
      <c r="UNF116" s="1"/>
      <c r="UNG116" s="1"/>
      <c r="UNH116" s="1"/>
      <c r="UNI116" s="1"/>
      <c r="UNJ116" s="1"/>
      <c r="UNK116" s="1"/>
      <c r="UNL116" s="1"/>
      <c r="UNM116" s="1"/>
      <c r="UNN116" s="1"/>
      <c r="UNO116" s="1"/>
      <c r="UNP116" s="1"/>
      <c r="UNQ116" s="1"/>
      <c r="UNR116" s="1"/>
      <c r="UNS116" s="1"/>
      <c r="UNT116" s="1"/>
      <c r="UNU116" s="1"/>
      <c r="UNV116" s="1"/>
      <c r="UNW116" s="1"/>
      <c r="UNX116" s="1"/>
      <c r="UNY116" s="1"/>
      <c r="UNZ116" s="1"/>
      <c r="UOA116" s="1"/>
      <c r="UOB116" s="1"/>
      <c r="UOC116" s="1"/>
      <c r="UOD116" s="1"/>
      <c r="UOE116" s="1"/>
      <c r="UOF116" s="1"/>
      <c r="UOG116" s="1"/>
      <c r="UOH116" s="1"/>
      <c r="UOI116" s="1"/>
      <c r="UOJ116" s="1"/>
      <c r="UOK116" s="1"/>
      <c r="UOL116" s="1"/>
      <c r="UOM116" s="1"/>
      <c r="UON116" s="1"/>
      <c r="UOO116" s="1"/>
      <c r="UOP116" s="1"/>
      <c r="UOQ116" s="1"/>
      <c r="UOR116" s="1"/>
      <c r="UOS116" s="1"/>
      <c r="UOT116" s="1"/>
      <c r="UOU116" s="1"/>
      <c r="UOV116" s="1"/>
      <c r="UOW116" s="1"/>
      <c r="UOX116" s="1"/>
      <c r="UOY116" s="1"/>
      <c r="UOZ116" s="1"/>
      <c r="UPA116" s="1"/>
      <c r="UPB116" s="1"/>
      <c r="UPC116" s="1"/>
      <c r="UPD116" s="1"/>
      <c r="UPE116" s="1"/>
      <c r="UPF116" s="1"/>
      <c r="UPG116" s="1"/>
      <c r="UPH116" s="1"/>
      <c r="UPI116" s="1"/>
      <c r="UPJ116" s="1"/>
      <c r="UPK116" s="1"/>
      <c r="UPL116" s="1"/>
      <c r="UPM116" s="1"/>
      <c r="UPN116" s="1"/>
      <c r="UPO116" s="1"/>
      <c r="UPP116" s="1"/>
      <c r="UPQ116" s="1"/>
      <c r="UPR116" s="1"/>
      <c r="UPS116" s="1"/>
      <c r="UPT116" s="1"/>
      <c r="UPU116" s="1"/>
      <c r="UPV116" s="1"/>
      <c r="UPW116" s="1"/>
      <c r="UPX116" s="1"/>
      <c r="UPY116" s="1"/>
      <c r="UPZ116" s="1"/>
      <c r="UQA116" s="1"/>
      <c r="UQB116" s="1"/>
      <c r="UQC116" s="1"/>
      <c r="UQD116" s="1"/>
      <c r="UQE116" s="1"/>
      <c r="UQF116" s="1"/>
      <c r="UQG116" s="1"/>
      <c r="UQH116" s="1"/>
      <c r="UQI116" s="1"/>
      <c r="UQJ116" s="1"/>
      <c r="UQK116" s="1"/>
      <c r="UQL116" s="1"/>
      <c r="UQM116" s="1"/>
      <c r="UQN116" s="1"/>
      <c r="UQO116" s="1"/>
      <c r="UQP116" s="1"/>
      <c r="UQQ116" s="1"/>
      <c r="UQR116" s="1"/>
      <c r="UQS116" s="1"/>
      <c r="UQT116" s="1"/>
      <c r="UQU116" s="1"/>
      <c r="UQV116" s="1"/>
      <c r="UQW116" s="1"/>
      <c r="UQX116" s="1"/>
      <c r="UQY116" s="1"/>
      <c r="UQZ116" s="1"/>
      <c r="URA116" s="1"/>
      <c r="URB116" s="1"/>
      <c r="URC116" s="1"/>
      <c r="URD116" s="1"/>
      <c r="URE116" s="1"/>
      <c r="URF116" s="1"/>
      <c r="URG116" s="1"/>
      <c r="URH116" s="1"/>
      <c r="URI116" s="1"/>
      <c r="URJ116" s="1"/>
      <c r="URK116" s="1"/>
      <c r="URL116" s="1"/>
      <c r="URM116" s="1"/>
      <c r="URN116" s="1"/>
      <c r="URO116" s="1"/>
      <c r="URP116" s="1"/>
      <c r="URQ116" s="1"/>
      <c r="URR116" s="1"/>
      <c r="URS116" s="1"/>
      <c r="URT116" s="1"/>
      <c r="URU116" s="1"/>
      <c r="URV116" s="1"/>
      <c r="URW116" s="1"/>
      <c r="URX116" s="1"/>
      <c r="URY116" s="1"/>
      <c r="URZ116" s="1"/>
      <c r="USA116" s="1"/>
      <c r="USB116" s="1"/>
      <c r="USC116" s="1"/>
      <c r="USD116" s="1"/>
      <c r="USE116" s="1"/>
      <c r="USF116" s="1"/>
      <c r="USG116" s="1"/>
      <c r="USH116" s="1"/>
      <c r="USI116" s="1"/>
      <c r="USJ116" s="1"/>
      <c r="USK116" s="1"/>
      <c r="USL116" s="1"/>
      <c r="USM116" s="1"/>
      <c r="USN116" s="1"/>
      <c r="USO116" s="1"/>
      <c r="USP116" s="1"/>
      <c r="USQ116" s="1"/>
      <c r="USR116" s="1"/>
      <c r="USS116" s="1"/>
      <c r="UST116" s="1"/>
      <c r="USU116" s="1"/>
      <c r="USV116" s="1"/>
      <c r="USW116" s="1"/>
      <c r="USX116" s="1"/>
      <c r="USY116" s="1"/>
      <c r="USZ116" s="1"/>
      <c r="UTA116" s="1"/>
      <c r="UTB116" s="1"/>
      <c r="UTC116" s="1"/>
      <c r="UTD116" s="1"/>
      <c r="UTE116" s="1"/>
      <c r="UTF116" s="1"/>
      <c r="UTG116" s="1"/>
      <c r="UTH116" s="1"/>
      <c r="UTI116" s="1"/>
      <c r="UTJ116" s="1"/>
      <c r="UTK116" s="1"/>
      <c r="UTL116" s="1"/>
      <c r="UTM116" s="1"/>
      <c r="UTN116" s="1"/>
      <c r="UTO116" s="1"/>
      <c r="UTP116" s="1"/>
      <c r="UTQ116" s="1"/>
      <c r="UTR116" s="1"/>
      <c r="UTS116" s="1"/>
      <c r="UTT116" s="1"/>
      <c r="UTU116" s="1"/>
      <c r="UTV116" s="1"/>
      <c r="UTW116" s="1"/>
      <c r="UTX116" s="1"/>
      <c r="UTY116" s="1"/>
      <c r="UTZ116" s="1"/>
      <c r="UUA116" s="1"/>
      <c r="UUB116" s="1"/>
      <c r="UUC116" s="1"/>
      <c r="UUD116" s="1"/>
      <c r="UUE116" s="1"/>
      <c r="UUF116" s="1"/>
      <c r="UUG116" s="1"/>
      <c r="UUH116" s="1"/>
      <c r="UUI116" s="1"/>
      <c r="UUJ116" s="1"/>
      <c r="UUK116" s="1"/>
      <c r="UUL116" s="1"/>
      <c r="UUM116" s="1"/>
      <c r="UUN116" s="1"/>
      <c r="UUO116" s="1"/>
      <c r="UUP116" s="1"/>
      <c r="UUQ116" s="1"/>
      <c r="UUR116" s="1"/>
      <c r="UUS116" s="1"/>
      <c r="UUT116" s="1"/>
      <c r="UUU116" s="1"/>
      <c r="UUV116" s="1"/>
      <c r="UUW116" s="1"/>
      <c r="UUX116" s="1"/>
      <c r="UUY116" s="1"/>
      <c r="UUZ116" s="1"/>
      <c r="UVA116" s="1"/>
      <c r="UVB116" s="1"/>
      <c r="UVC116" s="1"/>
      <c r="UVD116" s="1"/>
      <c r="UVE116" s="1"/>
      <c r="UVF116" s="1"/>
      <c r="UVG116" s="1"/>
      <c r="UVH116" s="1"/>
      <c r="UVI116" s="1"/>
      <c r="UVJ116" s="1"/>
      <c r="UVK116" s="1"/>
      <c r="UVL116" s="1"/>
      <c r="UVM116" s="1"/>
      <c r="UVN116" s="1"/>
      <c r="UVO116" s="1"/>
      <c r="UVP116" s="1"/>
      <c r="UVQ116" s="1"/>
      <c r="UVR116" s="1"/>
      <c r="UVS116" s="1"/>
      <c r="UVT116" s="1"/>
      <c r="UVU116" s="1"/>
      <c r="UVV116" s="1"/>
      <c r="UVW116" s="1"/>
      <c r="UVX116" s="1"/>
      <c r="UVY116" s="1"/>
      <c r="UVZ116" s="1"/>
      <c r="UWA116" s="1"/>
      <c r="UWB116" s="1"/>
      <c r="UWC116" s="1"/>
      <c r="UWD116" s="1"/>
      <c r="UWE116" s="1"/>
      <c r="UWF116" s="1"/>
      <c r="UWG116" s="1"/>
      <c r="UWH116" s="1"/>
      <c r="UWI116" s="1"/>
      <c r="UWJ116" s="1"/>
      <c r="UWK116" s="1"/>
      <c r="UWL116" s="1"/>
      <c r="UWM116" s="1"/>
      <c r="UWN116" s="1"/>
      <c r="UWO116" s="1"/>
      <c r="UWP116" s="1"/>
      <c r="UWQ116" s="1"/>
      <c r="UWR116" s="1"/>
      <c r="UWS116" s="1"/>
      <c r="UWT116" s="1"/>
      <c r="UWU116" s="1"/>
      <c r="UWV116" s="1"/>
      <c r="UWW116" s="1"/>
      <c r="UWX116" s="1"/>
      <c r="UWY116" s="1"/>
      <c r="UWZ116" s="1"/>
      <c r="UXA116" s="1"/>
      <c r="UXB116" s="1"/>
      <c r="UXC116" s="1"/>
      <c r="UXD116" s="1"/>
      <c r="UXE116" s="1"/>
      <c r="UXF116" s="1"/>
      <c r="UXG116" s="1"/>
      <c r="UXH116" s="1"/>
      <c r="UXI116" s="1"/>
      <c r="UXJ116" s="1"/>
      <c r="UXK116" s="1"/>
      <c r="UXL116" s="1"/>
      <c r="UXM116" s="1"/>
      <c r="UXN116" s="1"/>
      <c r="UXO116" s="1"/>
      <c r="UXP116" s="1"/>
      <c r="UXQ116" s="1"/>
      <c r="UXR116" s="1"/>
      <c r="UXS116" s="1"/>
      <c r="UXT116" s="1"/>
      <c r="UXU116" s="1"/>
      <c r="UXV116" s="1"/>
      <c r="UXW116" s="1"/>
      <c r="UXX116" s="1"/>
      <c r="UXY116" s="1"/>
      <c r="UXZ116" s="1"/>
      <c r="UYA116" s="1"/>
      <c r="UYB116" s="1"/>
      <c r="UYC116" s="1"/>
      <c r="UYD116" s="1"/>
      <c r="UYE116" s="1"/>
      <c r="UYF116" s="1"/>
      <c r="UYG116" s="1"/>
      <c r="UYH116" s="1"/>
      <c r="UYI116" s="1"/>
      <c r="UYJ116" s="1"/>
      <c r="UYK116" s="1"/>
      <c r="UYL116" s="1"/>
      <c r="UYM116" s="1"/>
      <c r="UYN116" s="1"/>
      <c r="UYO116" s="1"/>
      <c r="UYP116" s="1"/>
      <c r="UYQ116" s="1"/>
      <c r="UYR116" s="1"/>
      <c r="UYS116" s="1"/>
      <c r="UYT116" s="1"/>
      <c r="UYU116" s="1"/>
      <c r="UYV116" s="1"/>
      <c r="UYW116" s="1"/>
      <c r="UYX116" s="1"/>
      <c r="UYY116" s="1"/>
      <c r="UYZ116" s="1"/>
      <c r="UZA116" s="1"/>
      <c r="UZB116" s="1"/>
      <c r="UZC116" s="1"/>
      <c r="UZD116" s="1"/>
      <c r="UZE116" s="1"/>
      <c r="UZF116" s="1"/>
      <c r="UZG116" s="1"/>
      <c r="UZH116" s="1"/>
      <c r="UZI116" s="1"/>
      <c r="UZJ116" s="1"/>
      <c r="UZK116" s="1"/>
      <c r="UZL116" s="1"/>
      <c r="UZM116" s="1"/>
      <c r="UZN116" s="1"/>
      <c r="UZO116" s="1"/>
      <c r="UZP116" s="1"/>
      <c r="UZQ116" s="1"/>
      <c r="UZR116" s="1"/>
      <c r="UZS116" s="1"/>
      <c r="UZT116" s="1"/>
      <c r="UZU116" s="1"/>
      <c r="UZV116" s="1"/>
      <c r="UZW116" s="1"/>
      <c r="UZX116" s="1"/>
      <c r="UZY116" s="1"/>
      <c r="UZZ116" s="1"/>
      <c r="VAA116" s="1"/>
      <c r="VAB116" s="1"/>
      <c r="VAC116" s="1"/>
      <c r="VAD116" s="1"/>
      <c r="VAE116" s="1"/>
      <c r="VAF116" s="1"/>
      <c r="VAG116" s="1"/>
      <c r="VAH116" s="1"/>
      <c r="VAI116" s="1"/>
      <c r="VAJ116" s="1"/>
      <c r="VAK116" s="1"/>
      <c r="VAL116" s="1"/>
      <c r="VAM116" s="1"/>
      <c r="VAN116" s="1"/>
      <c r="VAO116" s="1"/>
      <c r="VAP116" s="1"/>
      <c r="VAQ116" s="1"/>
      <c r="VAR116" s="1"/>
      <c r="VAS116" s="1"/>
      <c r="VAT116" s="1"/>
      <c r="VAU116" s="1"/>
      <c r="VAV116" s="1"/>
      <c r="VAW116" s="1"/>
      <c r="VAX116" s="1"/>
      <c r="VAY116" s="1"/>
      <c r="VAZ116" s="1"/>
      <c r="VBA116" s="1"/>
      <c r="VBB116" s="1"/>
      <c r="VBC116" s="1"/>
      <c r="VBD116" s="1"/>
      <c r="VBE116" s="1"/>
      <c r="VBF116" s="1"/>
      <c r="VBG116" s="1"/>
      <c r="VBH116" s="1"/>
      <c r="VBI116" s="1"/>
      <c r="VBJ116" s="1"/>
      <c r="VBK116" s="1"/>
      <c r="VBL116" s="1"/>
      <c r="VBM116" s="1"/>
      <c r="VBN116" s="1"/>
      <c r="VBO116" s="1"/>
      <c r="VBP116" s="1"/>
      <c r="VBQ116" s="1"/>
      <c r="VBR116" s="1"/>
      <c r="VBS116" s="1"/>
      <c r="VBT116" s="1"/>
      <c r="VBU116" s="1"/>
      <c r="VBV116" s="1"/>
      <c r="VBW116" s="1"/>
      <c r="VBX116" s="1"/>
      <c r="VBY116" s="1"/>
      <c r="VBZ116" s="1"/>
      <c r="VCA116" s="1"/>
      <c r="VCB116" s="1"/>
      <c r="VCC116" s="1"/>
      <c r="VCD116" s="1"/>
      <c r="VCE116" s="1"/>
      <c r="VCF116" s="1"/>
      <c r="VCG116" s="1"/>
      <c r="VCH116" s="1"/>
      <c r="VCI116" s="1"/>
      <c r="VCJ116" s="1"/>
      <c r="VCK116" s="1"/>
      <c r="VCL116" s="1"/>
      <c r="VCM116" s="1"/>
      <c r="VCN116" s="1"/>
      <c r="VCO116" s="1"/>
      <c r="VCP116" s="1"/>
      <c r="VCQ116" s="1"/>
      <c r="VCR116" s="1"/>
      <c r="VCS116" s="1"/>
      <c r="VCT116" s="1"/>
      <c r="VCU116" s="1"/>
      <c r="VCV116" s="1"/>
      <c r="VCW116" s="1"/>
      <c r="VCX116" s="1"/>
      <c r="VCY116" s="1"/>
      <c r="VCZ116" s="1"/>
      <c r="VDA116" s="1"/>
      <c r="VDB116" s="1"/>
      <c r="VDC116" s="1"/>
      <c r="VDD116" s="1"/>
      <c r="VDE116" s="1"/>
      <c r="VDF116" s="1"/>
      <c r="VDG116" s="1"/>
      <c r="VDH116" s="1"/>
      <c r="VDI116" s="1"/>
      <c r="VDJ116" s="1"/>
      <c r="VDK116" s="1"/>
      <c r="VDL116" s="1"/>
      <c r="VDM116" s="1"/>
      <c r="VDN116" s="1"/>
      <c r="VDO116" s="1"/>
      <c r="VDP116" s="1"/>
      <c r="VDQ116" s="1"/>
      <c r="VDR116" s="1"/>
      <c r="VDS116" s="1"/>
      <c r="VDT116" s="1"/>
      <c r="VDU116" s="1"/>
      <c r="VDV116" s="1"/>
      <c r="VDW116" s="1"/>
      <c r="VDX116" s="1"/>
      <c r="VDY116" s="1"/>
      <c r="VDZ116" s="1"/>
      <c r="VEA116" s="1"/>
      <c r="VEB116" s="1"/>
      <c r="VEC116" s="1"/>
      <c r="VED116" s="1"/>
      <c r="VEE116" s="1"/>
      <c r="VEF116" s="1"/>
      <c r="VEG116" s="1"/>
      <c r="VEH116" s="1"/>
      <c r="VEI116" s="1"/>
      <c r="VEJ116" s="1"/>
      <c r="VEK116" s="1"/>
      <c r="VEL116" s="1"/>
      <c r="VEM116" s="1"/>
      <c r="VEN116" s="1"/>
      <c r="VEO116" s="1"/>
      <c r="VEP116" s="1"/>
      <c r="VEQ116" s="1"/>
      <c r="VER116" s="1"/>
      <c r="VES116" s="1"/>
      <c r="VET116" s="1"/>
      <c r="VEU116" s="1"/>
      <c r="VEV116" s="1"/>
      <c r="VEW116" s="1"/>
      <c r="VEX116" s="1"/>
      <c r="VEY116" s="1"/>
      <c r="VEZ116" s="1"/>
      <c r="VFA116" s="1"/>
      <c r="VFB116" s="1"/>
      <c r="VFC116" s="1"/>
      <c r="VFD116" s="1"/>
      <c r="VFE116" s="1"/>
      <c r="VFF116" s="1"/>
      <c r="VFG116" s="1"/>
      <c r="VFH116" s="1"/>
      <c r="VFI116" s="1"/>
      <c r="VFJ116" s="1"/>
      <c r="VFK116" s="1"/>
      <c r="VFL116" s="1"/>
      <c r="VFM116" s="1"/>
      <c r="VFN116" s="1"/>
      <c r="VFO116" s="1"/>
      <c r="VFP116" s="1"/>
      <c r="VFQ116" s="1"/>
      <c r="VFR116" s="1"/>
      <c r="VFS116" s="1"/>
      <c r="VFT116" s="1"/>
      <c r="VFU116" s="1"/>
      <c r="VFV116" s="1"/>
      <c r="VFW116" s="1"/>
      <c r="VFX116" s="1"/>
      <c r="VFY116" s="1"/>
      <c r="VFZ116" s="1"/>
      <c r="VGA116" s="1"/>
      <c r="VGB116" s="1"/>
      <c r="VGC116" s="1"/>
      <c r="VGD116" s="1"/>
      <c r="VGE116" s="1"/>
      <c r="VGF116" s="1"/>
      <c r="VGG116" s="1"/>
      <c r="VGH116" s="1"/>
      <c r="VGI116" s="1"/>
      <c r="VGJ116" s="1"/>
      <c r="VGK116" s="1"/>
      <c r="VGL116" s="1"/>
      <c r="VGM116" s="1"/>
      <c r="VGN116" s="1"/>
      <c r="VGO116" s="1"/>
      <c r="VGP116" s="1"/>
      <c r="VGQ116" s="1"/>
      <c r="VGR116" s="1"/>
      <c r="VGS116" s="1"/>
      <c r="VGT116" s="1"/>
      <c r="VGU116" s="1"/>
      <c r="VGV116" s="1"/>
      <c r="VGW116" s="1"/>
      <c r="VGX116" s="1"/>
      <c r="VGY116" s="1"/>
      <c r="VGZ116" s="1"/>
      <c r="VHA116" s="1"/>
      <c r="VHB116" s="1"/>
      <c r="VHC116" s="1"/>
      <c r="VHD116" s="1"/>
      <c r="VHE116" s="1"/>
      <c r="VHF116" s="1"/>
      <c r="VHG116" s="1"/>
      <c r="VHH116" s="1"/>
      <c r="VHI116" s="1"/>
      <c r="VHJ116" s="1"/>
      <c r="VHK116" s="1"/>
      <c r="VHL116" s="1"/>
      <c r="VHM116" s="1"/>
      <c r="VHN116" s="1"/>
      <c r="VHO116" s="1"/>
      <c r="VHP116" s="1"/>
      <c r="VHQ116" s="1"/>
      <c r="VHR116" s="1"/>
      <c r="VHS116" s="1"/>
      <c r="VHT116" s="1"/>
      <c r="VHU116" s="1"/>
      <c r="VHV116" s="1"/>
      <c r="VHW116" s="1"/>
      <c r="VHX116" s="1"/>
      <c r="VHY116" s="1"/>
      <c r="VHZ116" s="1"/>
      <c r="VIA116" s="1"/>
      <c r="VIB116" s="1"/>
      <c r="VIC116" s="1"/>
      <c r="VID116" s="1"/>
      <c r="VIE116" s="1"/>
      <c r="VIF116" s="1"/>
      <c r="VIG116" s="1"/>
      <c r="VIH116" s="1"/>
      <c r="VII116" s="1"/>
      <c r="VIJ116" s="1"/>
      <c r="VIK116" s="1"/>
      <c r="VIL116" s="1"/>
      <c r="VIM116" s="1"/>
      <c r="VIN116" s="1"/>
      <c r="VIO116" s="1"/>
      <c r="VIP116" s="1"/>
      <c r="VIQ116" s="1"/>
      <c r="VIR116" s="1"/>
      <c r="VIS116" s="1"/>
      <c r="VIT116" s="1"/>
      <c r="VIU116" s="1"/>
      <c r="VIV116" s="1"/>
      <c r="VIW116" s="1"/>
      <c r="VIX116" s="1"/>
      <c r="VIY116" s="1"/>
      <c r="VIZ116" s="1"/>
      <c r="VJA116" s="1"/>
      <c r="VJB116" s="1"/>
      <c r="VJC116" s="1"/>
      <c r="VJD116" s="1"/>
      <c r="VJE116" s="1"/>
      <c r="VJF116" s="1"/>
      <c r="VJG116" s="1"/>
      <c r="VJH116" s="1"/>
      <c r="VJI116" s="1"/>
      <c r="VJJ116" s="1"/>
      <c r="VJK116" s="1"/>
      <c r="VJL116" s="1"/>
      <c r="VJM116" s="1"/>
      <c r="VJN116" s="1"/>
      <c r="VJO116" s="1"/>
      <c r="VJP116" s="1"/>
      <c r="VJQ116" s="1"/>
      <c r="VJR116" s="1"/>
      <c r="VJS116" s="1"/>
      <c r="VJT116" s="1"/>
      <c r="VJU116" s="1"/>
      <c r="VJV116" s="1"/>
      <c r="VJW116" s="1"/>
      <c r="VJX116" s="1"/>
      <c r="VJY116" s="1"/>
      <c r="VJZ116" s="1"/>
      <c r="VKA116" s="1"/>
      <c r="VKB116" s="1"/>
      <c r="VKC116" s="1"/>
      <c r="VKD116" s="1"/>
      <c r="VKE116" s="1"/>
      <c r="VKF116" s="1"/>
      <c r="VKG116" s="1"/>
      <c r="VKH116" s="1"/>
      <c r="VKI116" s="1"/>
      <c r="VKJ116" s="1"/>
      <c r="VKK116" s="1"/>
      <c r="VKL116" s="1"/>
      <c r="VKM116" s="1"/>
      <c r="VKN116" s="1"/>
      <c r="VKO116" s="1"/>
      <c r="VKP116" s="1"/>
      <c r="VKQ116" s="1"/>
      <c r="VKR116" s="1"/>
      <c r="VKS116" s="1"/>
      <c r="VKT116" s="1"/>
      <c r="VKU116" s="1"/>
      <c r="VKV116" s="1"/>
      <c r="VKW116" s="1"/>
      <c r="VKX116" s="1"/>
      <c r="VKY116" s="1"/>
      <c r="VKZ116" s="1"/>
      <c r="VLA116" s="1"/>
      <c r="VLB116" s="1"/>
      <c r="VLC116" s="1"/>
      <c r="VLD116" s="1"/>
      <c r="VLE116" s="1"/>
      <c r="VLF116" s="1"/>
      <c r="VLG116" s="1"/>
      <c r="VLH116" s="1"/>
      <c r="VLI116" s="1"/>
      <c r="VLJ116" s="1"/>
      <c r="VLK116" s="1"/>
      <c r="VLL116" s="1"/>
      <c r="VLM116" s="1"/>
      <c r="VLN116" s="1"/>
      <c r="VLO116" s="1"/>
      <c r="VLP116" s="1"/>
      <c r="VLQ116" s="1"/>
      <c r="VLR116" s="1"/>
      <c r="VLS116" s="1"/>
      <c r="VLT116" s="1"/>
      <c r="VLU116" s="1"/>
      <c r="VLV116" s="1"/>
      <c r="VLW116" s="1"/>
      <c r="VLX116" s="1"/>
      <c r="VLY116" s="1"/>
      <c r="VLZ116" s="1"/>
      <c r="VMA116" s="1"/>
      <c r="VMB116" s="1"/>
      <c r="VMC116" s="1"/>
      <c r="VMD116" s="1"/>
      <c r="VME116" s="1"/>
      <c r="VMF116" s="1"/>
      <c r="VMG116" s="1"/>
      <c r="VMH116" s="1"/>
      <c r="VMI116" s="1"/>
      <c r="VMJ116" s="1"/>
      <c r="VMK116" s="1"/>
      <c r="VML116" s="1"/>
      <c r="VMM116" s="1"/>
      <c r="VMN116" s="1"/>
      <c r="VMO116" s="1"/>
      <c r="VMP116" s="1"/>
      <c r="VMQ116" s="1"/>
      <c r="VMR116" s="1"/>
      <c r="VMS116" s="1"/>
      <c r="VMT116" s="1"/>
      <c r="VMU116" s="1"/>
      <c r="VMV116" s="1"/>
      <c r="VMW116" s="1"/>
      <c r="VMX116" s="1"/>
      <c r="VMY116" s="1"/>
      <c r="VMZ116" s="1"/>
      <c r="VNA116" s="1"/>
      <c r="VNB116" s="1"/>
      <c r="VNC116" s="1"/>
      <c r="VND116" s="1"/>
      <c r="VNE116" s="1"/>
      <c r="VNF116" s="1"/>
      <c r="VNG116" s="1"/>
      <c r="VNH116" s="1"/>
      <c r="VNI116" s="1"/>
      <c r="VNJ116" s="1"/>
      <c r="VNK116" s="1"/>
      <c r="VNL116" s="1"/>
      <c r="VNM116" s="1"/>
      <c r="VNN116" s="1"/>
      <c r="VNO116" s="1"/>
      <c r="VNP116" s="1"/>
      <c r="VNQ116" s="1"/>
      <c r="VNR116" s="1"/>
      <c r="VNS116" s="1"/>
      <c r="VNT116" s="1"/>
      <c r="VNU116" s="1"/>
      <c r="VNV116" s="1"/>
      <c r="VNW116" s="1"/>
      <c r="VNX116" s="1"/>
      <c r="VNY116" s="1"/>
      <c r="VNZ116" s="1"/>
      <c r="VOA116" s="1"/>
      <c r="VOB116" s="1"/>
      <c r="VOC116" s="1"/>
      <c r="VOD116" s="1"/>
      <c r="VOE116" s="1"/>
      <c r="VOF116" s="1"/>
      <c r="VOG116" s="1"/>
      <c r="VOH116" s="1"/>
      <c r="VOI116" s="1"/>
      <c r="VOJ116" s="1"/>
      <c r="VOK116" s="1"/>
      <c r="VOL116" s="1"/>
      <c r="VOM116" s="1"/>
      <c r="VON116" s="1"/>
      <c r="VOO116" s="1"/>
      <c r="VOP116" s="1"/>
      <c r="VOQ116" s="1"/>
      <c r="VOR116" s="1"/>
      <c r="VOS116" s="1"/>
      <c r="VOT116" s="1"/>
      <c r="VOU116" s="1"/>
      <c r="VOV116" s="1"/>
      <c r="VOW116" s="1"/>
      <c r="VOX116" s="1"/>
      <c r="VOY116" s="1"/>
      <c r="VOZ116" s="1"/>
      <c r="VPA116" s="1"/>
      <c r="VPB116" s="1"/>
      <c r="VPC116" s="1"/>
      <c r="VPD116" s="1"/>
      <c r="VPE116" s="1"/>
      <c r="VPF116" s="1"/>
      <c r="VPG116" s="1"/>
      <c r="VPH116" s="1"/>
      <c r="VPI116" s="1"/>
      <c r="VPJ116" s="1"/>
      <c r="VPK116" s="1"/>
      <c r="VPL116" s="1"/>
      <c r="VPM116" s="1"/>
      <c r="VPN116" s="1"/>
      <c r="VPO116" s="1"/>
      <c r="VPP116" s="1"/>
      <c r="VPQ116" s="1"/>
      <c r="VPR116" s="1"/>
      <c r="VPS116" s="1"/>
      <c r="VPT116" s="1"/>
      <c r="VPU116" s="1"/>
      <c r="VPV116" s="1"/>
      <c r="VPW116" s="1"/>
      <c r="VPX116" s="1"/>
      <c r="VPY116" s="1"/>
      <c r="VPZ116" s="1"/>
      <c r="VQA116" s="1"/>
      <c r="VQB116" s="1"/>
      <c r="VQC116" s="1"/>
      <c r="VQD116" s="1"/>
      <c r="VQE116" s="1"/>
      <c r="VQF116" s="1"/>
      <c r="VQG116" s="1"/>
      <c r="VQH116" s="1"/>
      <c r="VQI116" s="1"/>
      <c r="VQJ116" s="1"/>
      <c r="VQK116" s="1"/>
      <c r="VQL116" s="1"/>
      <c r="VQM116" s="1"/>
      <c r="VQN116" s="1"/>
      <c r="VQO116" s="1"/>
      <c r="VQP116" s="1"/>
      <c r="VQQ116" s="1"/>
      <c r="VQR116" s="1"/>
      <c r="VQS116" s="1"/>
      <c r="VQT116" s="1"/>
      <c r="VQU116" s="1"/>
      <c r="VQV116" s="1"/>
      <c r="VQW116" s="1"/>
      <c r="VQX116" s="1"/>
      <c r="VQY116" s="1"/>
      <c r="VQZ116" s="1"/>
      <c r="VRA116" s="1"/>
      <c r="VRB116" s="1"/>
      <c r="VRC116" s="1"/>
      <c r="VRD116" s="1"/>
      <c r="VRE116" s="1"/>
      <c r="VRF116" s="1"/>
      <c r="VRG116" s="1"/>
      <c r="VRH116" s="1"/>
      <c r="VRI116" s="1"/>
      <c r="VRJ116" s="1"/>
      <c r="VRK116" s="1"/>
      <c r="VRL116" s="1"/>
      <c r="VRM116" s="1"/>
      <c r="VRN116" s="1"/>
      <c r="VRO116" s="1"/>
      <c r="VRP116" s="1"/>
      <c r="VRQ116" s="1"/>
      <c r="VRR116" s="1"/>
      <c r="VRS116" s="1"/>
      <c r="VRT116" s="1"/>
      <c r="VRU116" s="1"/>
      <c r="VRV116" s="1"/>
      <c r="VRW116" s="1"/>
      <c r="VRX116" s="1"/>
      <c r="VRY116" s="1"/>
      <c r="VRZ116" s="1"/>
      <c r="VSA116" s="1"/>
      <c r="VSB116" s="1"/>
      <c r="VSC116" s="1"/>
      <c r="VSD116" s="1"/>
      <c r="VSE116" s="1"/>
      <c r="VSF116" s="1"/>
      <c r="VSG116" s="1"/>
      <c r="VSH116" s="1"/>
      <c r="VSI116" s="1"/>
      <c r="VSJ116" s="1"/>
      <c r="VSK116" s="1"/>
      <c r="VSL116" s="1"/>
      <c r="VSM116" s="1"/>
      <c r="VSN116" s="1"/>
      <c r="VSO116" s="1"/>
      <c r="VSP116" s="1"/>
      <c r="VSQ116" s="1"/>
      <c r="VSR116" s="1"/>
      <c r="VSS116" s="1"/>
      <c r="VST116" s="1"/>
      <c r="VSU116" s="1"/>
      <c r="VSV116" s="1"/>
      <c r="VSW116" s="1"/>
      <c r="VSX116" s="1"/>
      <c r="VSY116" s="1"/>
      <c r="VSZ116" s="1"/>
      <c r="VTA116" s="1"/>
      <c r="VTB116" s="1"/>
      <c r="VTC116" s="1"/>
      <c r="VTD116" s="1"/>
      <c r="VTE116" s="1"/>
      <c r="VTF116" s="1"/>
      <c r="VTG116" s="1"/>
      <c r="VTH116" s="1"/>
      <c r="VTI116" s="1"/>
      <c r="VTJ116" s="1"/>
      <c r="VTK116" s="1"/>
      <c r="VTL116" s="1"/>
      <c r="VTM116" s="1"/>
      <c r="VTN116" s="1"/>
      <c r="VTO116" s="1"/>
      <c r="VTP116" s="1"/>
      <c r="VTQ116" s="1"/>
      <c r="VTR116" s="1"/>
      <c r="VTS116" s="1"/>
      <c r="VTT116" s="1"/>
      <c r="VTU116" s="1"/>
      <c r="VTV116" s="1"/>
      <c r="VTW116" s="1"/>
      <c r="VTX116" s="1"/>
      <c r="VTY116" s="1"/>
      <c r="VTZ116" s="1"/>
      <c r="VUA116" s="1"/>
      <c r="VUB116" s="1"/>
      <c r="VUC116" s="1"/>
      <c r="VUD116" s="1"/>
      <c r="VUE116" s="1"/>
      <c r="VUF116" s="1"/>
      <c r="VUG116" s="1"/>
      <c r="VUH116" s="1"/>
      <c r="VUI116" s="1"/>
      <c r="VUJ116" s="1"/>
      <c r="VUK116" s="1"/>
      <c r="VUL116" s="1"/>
      <c r="VUM116" s="1"/>
      <c r="VUN116" s="1"/>
      <c r="VUO116" s="1"/>
      <c r="VUP116" s="1"/>
      <c r="VUQ116" s="1"/>
      <c r="VUR116" s="1"/>
      <c r="VUS116" s="1"/>
      <c r="VUT116" s="1"/>
      <c r="VUU116" s="1"/>
      <c r="VUV116" s="1"/>
      <c r="VUW116" s="1"/>
      <c r="VUX116" s="1"/>
      <c r="VUY116" s="1"/>
      <c r="VUZ116" s="1"/>
      <c r="VVA116" s="1"/>
      <c r="VVB116" s="1"/>
      <c r="VVC116" s="1"/>
      <c r="VVD116" s="1"/>
      <c r="VVE116" s="1"/>
      <c r="VVF116" s="1"/>
      <c r="VVG116" s="1"/>
      <c r="VVH116" s="1"/>
      <c r="VVI116" s="1"/>
      <c r="VVJ116" s="1"/>
      <c r="VVK116" s="1"/>
      <c r="VVL116" s="1"/>
      <c r="VVM116" s="1"/>
      <c r="VVN116" s="1"/>
      <c r="VVO116" s="1"/>
      <c r="VVP116" s="1"/>
      <c r="VVQ116" s="1"/>
      <c r="VVR116" s="1"/>
      <c r="VVS116" s="1"/>
      <c r="VVT116" s="1"/>
      <c r="VVU116" s="1"/>
      <c r="VVV116" s="1"/>
      <c r="VVW116" s="1"/>
      <c r="VVX116" s="1"/>
      <c r="VVY116" s="1"/>
      <c r="VVZ116" s="1"/>
      <c r="VWA116" s="1"/>
      <c r="VWB116" s="1"/>
      <c r="VWC116" s="1"/>
      <c r="VWD116" s="1"/>
      <c r="VWE116" s="1"/>
      <c r="VWF116" s="1"/>
      <c r="VWG116" s="1"/>
      <c r="VWH116" s="1"/>
      <c r="VWI116" s="1"/>
      <c r="VWJ116" s="1"/>
      <c r="VWK116" s="1"/>
      <c r="VWL116" s="1"/>
      <c r="VWM116" s="1"/>
      <c r="VWN116" s="1"/>
      <c r="VWO116" s="1"/>
      <c r="VWP116" s="1"/>
      <c r="VWQ116" s="1"/>
      <c r="VWR116" s="1"/>
      <c r="VWS116" s="1"/>
      <c r="VWT116" s="1"/>
      <c r="VWU116" s="1"/>
      <c r="VWV116" s="1"/>
      <c r="VWW116" s="1"/>
      <c r="VWX116" s="1"/>
      <c r="VWY116" s="1"/>
      <c r="VWZ116" s="1"/>
      <c r="VXA116" s="1"/>
      <c r="VXB116" s="1"/>
      <c r="VXC116" s="1"/>
      <c r="VXD116" s="1"/>
      <c r="VXE116" s="1"/>
      <c r="VXF116" s="1"/>
      <c r="VXG116" s="1"/>
      <c r="VXH116" s="1"/>
      <c r="VXI116" s="1"/>
      <c r="VXJ116" s="1"/>
      <c r="VXK116" s="1"/>
      <c r="VXL116" s="1"/>
      <c r="VXM116" s="1"/>
      <c r="VXN116" s="1"/>
      <c r="VXO116" s="1"/>
      <c r="VXP116" s="1"/>
      <c r="VXQ116" s="1"/>
      <c r="VXR116" s="1"/>
      <c r="VXS116" s="1"/>
      <c r="VXT116" s="1"/>
      <c r="VXU116" s="1"/>
      <c r="VXV116" s="1"/>
      <c r="VXW116" s="1"/>
      <c r="VXX116" s="1"/>
      <c r="VXY116" s="1"/>
      <c r="VXZ116" s="1"/>
      <c r="VYA116" s="1"/>
      <c r="VYB116" s="1"/>
      <c r="VYC116" s="1"/>
      <c r="VYD116" s="1"/>
      <c r="VYE116" s="1"/>
      <c r="VYF116" s="1"/>
      <c r="VYG116" s="1"/>
      <c r="VYH116" s="1"/>
      <c r="VYI116" s="1"/>
      <c r="VYJ116" s="1"/>
      <c r="VYK116" s="1"/>
      <c r="VYL116" s="1"/>
      <c r="VYM116" s="1"/>
      <c r="VYN116" s="1"/>
      <c r="VYO116" s="1"/>
      <c r="VYP116" s="1"/>
      <c r="VYQ116" s="1"/>
      <c r="VYR116" s="1"/>
      <c r="VYS116" s="1"/>
      <c r="VYT116" s="1"/>
      <c r="VYU116" s="1"/>
      <c r="VYV116" s="1"/>
      <c r="VYW116" s="1"/>
      <c r="VYX116" s="1"/>
      <c r="VYY116" s="1"/>
      <c r="VYZ116" s="1"/>
      <c r="VZA116" s="1"/>
      <c r="VZB116" s="1"/>
      <c r="VZC116" s="1"/>
      <c r="VZD116" s="1"/>
      <c r="VZE116" s="1"/>
      <c r="VZF116" s="1"/>
      <c r="VZG116" s="1"/>
      <c r="VZH116" s="1"/>
      <c r="VZI116" s="1"/>
      <c r="VZJ116" s="1"/>
      <c r="VZK116" s="1"/>
      <c r="VZL116" s="1"/>
      <c r="VZM116" s="1"/>
      <c r="VZN116" s="1"/>
      <c r="VZO116" s="1"/>
      <c r="VZP116" s="1"/>
      <c r="VZQ116" s="1"/>
      <c r="VZR116" s="1"/>
      <c r="VZS116" s="1"/>
      <c r="VZT116" s="1"/>
      <c r="VZU116" s="1"/>
      <c r="VZV116" s="1"/>
      <c r="VZW116" s="1"/>
      <c r="VZX116" s="1"/>
      <c r="VZY116" s="1"/>
      <c r="VZZ116" s="1"/>
      <c r="WAA116" s="1"/>
      <c r="WAB116" s="1"/>
      <c r="WAC116" s="1"/>
      <c r="WAD116" s="1"/>
      <c r="WAE116" s="1"/>
      <c r="WAF116" s="1"/>
      <c r="WAG116" s="1"/>
      <c r="WAH116" s="1"/>
      <c r="WAI116" s="1"/>
      <c r="WAJ116" s="1"/>
      <c r="WAK116" s="1"/>
      <c r="WAL116" s="1"/>
      <c r="WAM116" s="1"/>
      <c r="WAN116" s="1"/>
      <c r="WAO116" s="1"/>
      <c r="WAP116" s="1"/>
      <c r="WAQ116" s="1"/>
      <c r="WAR116" s="1"/>
      <c r="WAS116" s="1"/>
      <c r="WAT116" s="1"/>
      <c r="WAU116" s="1"/>
      <c r="WAV116" s="1"/>
      <c r="WAW116" s="1"/>
      <c r="WAX116" s="1"/>
      <c r="WAY116" s="1"/>
      <c r="WAZ116" s="1"/>
      <c r="WBA116" s="1"/>
      <c r="WBB116" s="1"/>
      <c r="WBC116" s="1"/>
      <c r="WBD116" s="1"/>
      <c r="WBE116" s="1"/>
      <c r="WBF116" s="1"/>
      <c r="WBG116" s="1"/>
      <c r="WBH116" s="1"/>
      <c r="WBI116" s="1"/>
      <c r="WBJ116" s="1"/>
      <c r="WBK116" s="1"/>
      <c r="WBL116" s="1"/>
      <c r="WBM116" s="1"/>
      <c r="WBN116" s="1"/>
      <c r="WBO116" s="1"/>
      <c r="WBP116" s="1"/>
      <c r="WBQ116" s="1"/>
      <c r="WBR116" s="1"/>
      <c r="WBS116" s="1"/>
      <c r="WBT116" s="1"/>
      <c r="WBU116" s="1"/>
      <c r="WBV116" s="1"/>
      <c r="WBW116" s="1"/>
      <c r="WBX116" s="1"/>
      <c r="WBY116" s="1"/>
      <c r="WBZ116" s="1"/>
      <c r="WCA116" s="1"/>
      <c r="WCB116" s="1"/>
      <c r="WCC116" s="1"/>
      <c r="WCD116" s="1"/>
      <c r="WCE116" s="1"/>
      <c r="WCF116" s="1"/>
      <c r="WCG116" s="1"/>
      <c r="WCH116" s="1"/>
      <c r="WCI116" s="1"/>
      <c r="WCJ116" s="1"/>
      <c r="WCK116" s="1"/>
      <c r="WCL116" s="1"/>
      <c r="WCM116" s="1"/>
      <c r="WCN116" s="1"/>
      <c r="WCO116" s="1"/>
      <c r="WCP116" s="1"/>
      <c r="WCQ116" s="1"/>
      <c r="WCR116" s="1"/>
      <c r="WCS116" s="1"/>
      <c r="WCT116" s="1"/>
      <c r="WCU116" s="1"/>
      <c r="WCV116" s="1"/>
      <c r="WCW116" s="1"/>
      <c r="WCX116" s="1"/>
      <c r="WCY116" s="1"/>
      <c r="WCZ116" s="1"/>
      <c r="WDA116" s="1"/>
      <c r="WDB116" s="1"/>
      <c r="WDC116" s="1"/>
      <c r="WDD116" s="1"/>
      <c r="WDE116" s="1"/>
      <c r="WDF116" s="1"/>
      <c r="WDG116" s="1"/>
      <c r="WDH116" s="1"/>
      <c r="WDI116" s="1"/>
      <c r="WDJ116" s="1"/>
      <c r="WDK116" s="1"/>
      <c r="WDL116" s="1"/>
      <c r="WDM116" s="1"/>
      <c r="WDN116" s="1"/>
      <c r="WDO116" s="1"/>
      <c r="WDP116" s="1"/>
      <c r="WDQ116" s="1"/>
      <c r="WDR116" s="1"/>
      <c r="WDS116" s="1"/>
      <c r="WDT116" s="1"/>
      <c r="WDU116" s="1"/>
      <c r="WDV116" s="1"/>
      <c r="WDW116" s="1"/>
      <c r="WDX116" s="1"/>
      <c r="WDY116" s="1"/>
      <c r="WDZ116" s="1"/>
      <c r="WEA116" s="1"/>
      <c r="WEB116" s="1"/>
      <c r="WEC116" s="1"/>
      <c r="WED116" s="1"/>
      <c r="WEE116" s="1"/>
      <c r="WEF116" s="1"/>
      <c r="WEG116" s="1"/>
      <c r="WEH116" s="1"/>
      <c r="WEI116" s="1"/>
      <c r="WEJ116" s="1"/>
      <c r="WEK116" s="1"/>
      <c r="WEL116" s="1"/>
      <c r="WEM116" s="1"/>
      <c r="WEN116" s="1"/>
      <c r="WEO116" s="1"/>
      <c r="WEP116" s="1"/>
      <c r="WEQ116" s="1"/>
      <c r="WER116" s="1"/>
      <c r="WES116" s="1"/>
      <c r="WET116" s="1"/>
      <c r="WEU116" s="1"/>
      <c r="WEV116" s="1"/>
      <c r="WEW116" s="1"/>
      <c r="WEX116" s="1"/>
      <c r="WEY116" s="1"/>
      <c r="WEZ116" s="1"/>
      <c r="WFA116" s="1"/>
      <c r="WFB116" s="1"/>
      <c r="WFC116" s="1"/>
      <c r="WFD116" s="1"/>
      <c r="WFE116" s="1"/>
      <c r="WFF116" s="1"/>
      <c r="WFG116" s="1"/>
      <c r="WFH116" s="1"/>
      <c r="WFI116" s="1"/>
      <c r="WFJ116" s="1"/>
      <c r="WFK116" s="1"/>
      <c r="WFL116" s="1"/>
      <c r="WFM116" s="1"/>
      <c r="WFN116" s="1"/>
      <c r="WFO116" s="1"/>
      <c r="WFP116" s="1"/>
      <c r="WFQ116" s="1"/>
      <c r="WFR116" s="1"/>
      <c r="WFS116" s="1"/>
      <c r="WFT116" s="1"/>
      <c r="WFU116" s="1"/>
      <c r="WFV116" s="1"/>
      <c r="WFW116" s="1"/>
      <c r="WFX116" s="1"/>
      <c r="WFY116" s="1"/>
      <c r="WFZ116" s="1"/>
      <c r="WGA116" s="1"/>
      <c r="WGB116" s="1"/>
      <c r="WGC116" s="1"/>
      <c r="WGD116" s="1"/>
      <c r="WGE116" s="1"/>
      <c r="WGF116" s="1"/>
      <c r="WGG116" s="1"/>
      <c r="WGH116" s="1"/>
      <c r="WGI116" s="1"/>
      <c r="WGJ116" s="1"/>
      <c r="WGK116" s="1"/>
      <c r="WGL116" s="1"/>
      <c r="WGM116" s="1"/>
      <c r="WGN116" s="1"/>
      <c r="WGO116" s="1"/>
      <c r="WGP116" s="1"/>
      <c r="WGQ116" s="1"/>
      <c r="WGR116" s="1"/>
      <c r="WGS116" s="1"/>
      <c r="WGT116" s="1"/>
      <c r="WGU116" s="1"/>
      <c r="WGV116" s="1"/>
      <c r="WGW116" s="1"/>
      <c r="WGX116" s="1"/>
      <c r="WGY116" s="1"/>
      <c r="WGZ116" s="1"/>
      <c r="WHA116" s="1"/>
      <c r="WHB116" s="1"/>
      <c r="WHC116" s="1"/>
      <c r="WHD116" s="1"/>
      <c r="WHE116" s="1"/>
      <c r="WHF116" s="1"/>
      <c r="WHG116" s="1"/>
      <c r="WHH116" s="1"/>
      <c r="WHI116" s="1"/>
      <c r="WHJ116" s="1"/>
      <c r="WHK116" s="1"/>
      <c r="WHL116" s="1"/>
      <c r="WHM116" s="1"/>
      <c r="WHN116" s="1"/>
      <c r="WHO116" s="1"/>
      <c r="WHP116" s="1"/>
      <c r="WHQ116" s="1"/>
      <c r="WHR116" s="1"/>
      <c r="WHS116" s="1"/>
      <c r="WHT116" s="1"/>
      <c r="WHU116" s="1"/>
      <c r="WHV116" s="1"/>
      <c r="WHW116" s="1"/>
      <c r="WHX116" s="1"/>
      <c r="WHY116" s="1"/>
      <c r="WHZ116" s="1"/>
      <c r="WIA116" s="1"/>
      <c r="WIB116" s="1"/>
      <c r="WIC116" s="1"/>
      <c r="WID116" s="1"/>
      <c r="WIE116" s="1"/>
      <c r="WIF116" s="1"/>
      <c r="WIG116" s="1"/>
      <c r="WIH116" s="1"/>
      <c r="WII116" s="1"/>
      <c r="WIJ116" s="1"/>
      <c r="WIK116" s="1"/>
      <c r="WIL116" s="1"/>
      <c r="WIM116" s="1"/>
      <c r="WIN116" s="1"/>
      <c r="WIO116" s="1"/>
      <c r="WIP116" s="1"/>
      <c r="WIQ116" s="1"/>
      <c r="WIR116" s="1"/>
      <c r="WIS116" s="1"/>
      <c r="WIT116" s="1"/>
      <c r="WIU116" s="1"/>
      <c r="WIV116" s="1"/>
      <c r="WIW116" s="1"/>
      <c r="WIX116" s="1"/>
      <c r="WIY116" s="1"/>
      <c r="WIZ116" s="1"/>
      <c r="WJA116" s="1"/>
      <c r="WJB116" s="1"/>
      <c r="WJC116" s="1"/>
      <c r="WJD116" s="1"/>
      <c r="WJE116" s="1"/>
      <c r="WJF116" s="1"/>
      <c r="WJG116" s="1"/>
      <c r="WJH116" s="1"/>
      <c r="WJI116" s="1"/>
      <c r="WJJ116" s="1"/>
      <c r="WJK116" s="1"/>
      <c r="WJL116" s="1"/>
      <c r="WJM116" s="1"/>
      <c r="WJN116" s="1"/>
      <c r="WJO116" s="1"/>
      <c r="WJP116" s="1"/>
      <c r="WJQ116" s="1"/>
      <c r="WJR116" s="1"/>
      <c r="WJS116" s="1"/>
      <c r="WJT116" s="1"/>
      <c r="WJU116" s="1"/>
      <c r="WJV116" s="1"/>
      <c r="WJW116" s="1"/>
      <c r="WJX116" s="1"/>
      <c r="WJY116" s="1"/>
      <c r="WJZ116" s="1"/>
      <c r="WKA116" s="1"/>
      <c r="WKB116" s="1"/>
      <c r="WKC116" s="1"/>
      <c r="WKD116" s="1"/>
      <c r="WKE116" s="1"/>
      <c r="WKF116" s="1"/>
      <c r="WKG116" s="1"/>
      <c r="WKH116" s="1"/>
      <c r="WKI116" s="1"/>
      <c r="WKJ116" s="1"/>
      <c r="WKK116" s="1"/>
      <c r="WKL116" s="1"/>
      <c r="WKM116" s="1"/>
      <c r="WKN116" s="1"/>
      <c r="WKO116" s="1"/>
      <c r="WKP116" s="1"/>
      <c r="WKQ116" s="1"/>
      <c r="WKR116" s="1"/>
      <c r="WKS116" s="1"/>
      <c r="WKT116" s="1"/>
      <c r="WKU116" s="1"/>
      <c r="WKV116" s="1"/>
      <c r="WKW116" s="1"/>
      <c r="WKX116" s="1"/>
      <c r="WKY116" s="1"/>
      <c r="WKZ116" s="1"/>
      <c r="WLA116" s="1"/>
      <c r="WLB116" s="1"/>
      <c r="WLC116" s="1"/>
      <c r="WLD116" s="1"/>
      <c r="WLE116" s="1"/>
      <c r="WLF116" s="1"/>
      <c r="WLG116" s="1"/>
      <c r="WLH116" s="1"/>
      <c r="WLI116" s="1"/>
      <c r="WLJ116" s="1"/>
      <c r="WLK116" s="1"/>
      <c r="WLL116" s="1"/>
      <c r="WLM116" s="1"/>
      <c r="WLN116" s="1"/>
      <c r="WLO116" s="1"/>
      <c r="WLP116" s="1"/>
      <c r="WLQ116" s="1"/>
      <c r="WLR116" s="1"/>
      <c r="WLS116" s="1"/>
      <c r="WLT116" s="1"/>
      <c r="WLU116" s="1"/>
      <c r="WLV116" s="1"/>
      <c r="WLW116" s="1"/>
      <c r="WLX116" s="1"/>
      <c r="WLY116" s="1"/>
      <c r="WLZ116" s="1"/>
      <c r="WMA116" s="1"/>
      <c r="WMB116" s="1"/>
      <c r="WMC116" s="1"/>
      <c r="WMD116" s="1"/>
      <c r="WME116" s="1"/>
      <c r="WMF116" s="1"/>
      <c r="WMG116" s="1"/>
      <c r="WMH116" s="1"/>
      <c r="WMI116" s="1"/>
      <c r="WMJ116" s="1"/>
      <c r="WMK116" s="1"/>
      <c r="WML116" s="1"/>
      <c r="WMM116" s="1"/>
      <c r="WMN116" s="1"/>
      <c r="WMO116" s="1"/>
      <c r="WMP116" s="1"/>
      <c r="WMQ116" s="1"/>
      <c r="WMR116" s="1"/>
      <c r="WMS116" s="1"/>
      <c r="WMT116" s="1"/>
      <c r="WMU116" s="1"/>
      <c r="WMV116" s="1"/>
      <c r="WMW116" s="1"/>
      <c r="WMX116" s="1"/>
      <c r="WMY116" s="1"/>
      <c r="WMZ116" s="1"/>
      <c r="WNA116" s="1"/>
      <c r="WNB116" s="1"/>
      <c r="WNC116" s="1"/>
      <c r="WND116" s="1"/>
      <c r="WNE116" s="1"/>
      <c r="WNF116" s="1"/>
      <c r="WNG116" s="1"/>
      <c r="WNH116" s="1"/>
      <c r="WNI116" s="1"/>
      <c r="WNJ116" s="1"/>
      <c r="WNK116" s="1"/>
      <c r="WNL116" s="1"/>
      <c r="WNM116" s="1"/>
      <c r="WNN116" s="1"/>
      <c r="WNO116" s="1"/>
      <c r="WNP116" s="1"/>
      <c r="WNQ116" s="1"/>
      <c r="WNR116" s="1"/>
      <c r="WNS116" s="1"/>
      <c r="WNT116" s="1"/>
      <c r="WNU116" s="1"/>
      <c r="WNV116" s="1"/>
      <c r="WNW116" s="1"/>
      <c r="WNX116" s="1"/>
      <c r="WNY116" s="1"/>
      <c r="WNZ116" s="1"/>
      <c r="WOA116" s="1"/>
      <c r="WOB116" s="1"/>
      <c r="WOC116" s="1"/>
      <c r="WOD116" s="1"/>
      <c r="WOE116" s="1"/>
      <c r="WOF116" s="1"/>
      <c r="WOG116" s="1"/>
      <c r="WOH116" s="1"/>
      <c r="WOI116" s="1"/>
      <c r="WOJ116" s="1"/>
      <c r="WOK116" s="1"/>
      <c r="WOL116" s="1"/>
      <c r="WOM116" s="1"/>
      <c r="WON116" s="1"/>
      <c r="WOO116" s="1"/>
      <c r="WOP116" s="1"/>
      <c r="WOQ116" s="1"/>
      <c r="WOR116" s="1"/>
      <c r="WOS116" s="1"/>
      <c r="WOT116" s="1"/>
      <c r="WOU116" s="1"/>
      <c r="WOV116" s="1"/>
      <c r="WOW116" s="1"/>
      <c r="WOX116" s="1"/>
      <c r="WOY116" s="1"/>
      <c r="WOZ116" s="1"/>
      <c r="WPA116" s="1"/>
      <c r="WPB116" s="1"/>
      <c r="WPC116" s="1"/>
      <c r="WPD116" s="1"/>
      <c r="WPE116" s="1"/>
      <c r="WPF116" s="1"/>
      <c r="WPG116" s="1"/>
      <c r="WPH116" s="1"/>
      <c r="WPI116" s="1"/>
      <c r="WPJ116" s="1"/>
      <c r="WPK116" s="1"/>
      <c r="WPL116" s="1"/>
      <c r="WPM116" s="1"/>
      <c r="WPN116" s="1"/>
      <c r="WPO116" s="1"/>
      <c r="WPP116" s="1"/>
      <c r="WPQ116" s="1"/>
      <c r="WPR116" s="1"/>
      <c r="WPS116" s="1"/>
      <c r="WPT116" s="1"/>
      <c r="WPU116" s="1"/>
      <c r="WPV116" s="1"/>
      <c r="WPW116" s="1"/>
      <c r="WPX116" s="1"/>
      <c r="WPY116" s="1"/>
      <c r="WPZ116" s="1"/>
      <c r="WQA116" s="1"/>
      <c r="WQB116" s="1"/>
      <c r="WQC116" s="1"/>
      <c r="WQD116" s="1"/>
      <c r="WQE116" s="1"/>
      <c r="WQF116" s="1"/>
      <c r="WQG116" s="1"/>
      <c r="WQH116" s="1"/>
      <c r="WQI116" s="1"/>
      <c r="WQJ116" s="1"/>
      <c r="WQK116" s="1"/>
      <c r="WQL116" s="1"/>
      <c r="WQM116" s="1"/>
      <c r="WQN116" s="1"/>
      <c r="WQO116" s="1"/>
      <c r="WQP116" s="1"/>
      <c r="WQQ116" s="1"/>
      <c r="WQR116" s="1"/>
      <c r="WQS116" s="1"/>
      <c r="WQT116" s="1"/>
      <c r="WQU116" s="1"/>
      <c r="WQV116" s="1"/>
      <c r="WQW116" s="1"/>
      <c r="WQX116" s="1"/>
      <c r="WQY116" s="1"/>
      <c r="WQZ116" s="1"/>
      <c r="WRA116" s="1"/>
      <c r="WRB116" s="1"/>
      <c r="WRC116" s="1"/>
      <c r="WRD116" s="1"/>
      <c r="WRE116" s="1"/>
      <c r="WRF116" s="1"/>
      <c r="WRG116" s="1"/>
      <c r="WRH116" s="1"/>
      <c r="WRI116" s="1"/>
      <c r="WRJ116" s="1"/>
      <c r="WRK116" s="1"/>
      <c r="WRL116" s="1"/>
      <c r="WRM116" s="1"/>
      <c r="WRN116" s="1"/>
      <c r="WRO116" s="1"/>
      <c r="WRP116" s="1"/>
      <c r="WRQ116" s="1"/>
      <c r="WRR116" s="1"/>
      <c r="WRS116" s="1"/>
      <c r="WRT116" s="1"/>
      <c r="WRU116" s="1"/>
      <c r="WRV116" s="1"/>
      <c r="WRW116" s="1"/>
      <c r="WRX116" s="1"/>
      <c r="WRY116" s="1"/>
      <c r="WRZ116" s="1"/>
      <c r="WSA116" s="1"/>
      <c r="WSB116" s="1"/>
      <c r="WSC116" s="1"/>
      <c r="WSD116" s="1"/>
      <c r="WSE116" s="1"/>
      <c r="WSF116" s="1"/>
      <c r="WSG116" s="1"/>
      <c r="WSH116" s="1"/>
      <c r="WSI116" s="1"/>
      <c r="WSJ116" s="1"/>
      <c r="WSK116" s="1"/>
      <c r="WSL116" s="1"/>
      <c r="WSM116" s="1"/>
      <c r="WSN116" s="1"/>
      <c r="WSO116" s="1"/>
      <c r="WSP116" s="1"/>
      <c r="WSQ116" s="1"/>
      <c r="WSR116" s="1"/>
      <c r="WSS116" s="1"/>
      <c r="WST116" s="1"/>
      <c r="WSU116" s="1"/>
      <c r="WSV116" s="1"/>
      <c r="WSW116" s="1"/>
      <c r="WSX116" s="1"/>
      <c r="WSY116" s="1"/>
      <c r="WSZ116" s="1"/>
      <c r="WTA116" s="1"/>
      <c r="WTB116" s="1"/>
      <c r="WTC116" s="1"/>
      <c r="WTD116" s="1"/>
      <c r="WTE116" s="1"/>
      <c r="WTF116" s="1"/>
      <c r="WTG116" s="1"/>
      <c r="WTH116" s="1"/>
      <c r="WTI116" s="1"/>
      <c r="WTJ116" s="1"/>
      <c r="WTK116" s="1"/>
      <c r="WTL116" s="1"/>
      <c r="WTM116" s="1"/>
      <c r="WTN116" s="1"/>
      <c r="WTO116" s="1"/>
      <c r="WTP116" s="1"/>
      <c r="WTQ116" s="1"/>
      <c r="WTR116" s="1"/>
      <c r="WTS116" s="1"/>
      <c r="WTT116" s="1"/>
      <c r="WTU116" s="1"/>
      <c r="WTV116" s="1"/>
      <c r="WTW116" s="1"/>
      <c r="WTX116" s="1"/>
      <c r="WTY116" s="1"/>
      <c r="WTZ116" s="1"/>
      <c r="WUA116" s="1"/>
      <c r="WUB116" s="1"/>
      <c r="WUC116" s="1"/>
      <c r="WUD116" s="1"/>
      <c r="WUE116" s="1"/>
      <c r="WUF116" s="1"/>
      <c r="WUG116" s="1"/>
      <c r="WUH116" s="1"/>
      <c r="WUI116" s="1"/>
      <c r="WUJ116" s="1"/>
      <c r="WUK116" s="1"/>
      <c r="WUL116" s="1"/>
      <c r="WUM116" s="1"/>
      <c r="WUN116" s="1"/>
      <c r="WUO116" s="1"/>
      <c r="WUP116" s="1"/>
      <c r="WUQ116" s="1"/>
      <c r="WUR116" s="1"/>
      <c r="WUS116" s="1"/>
      <c r="WUT116" s="1"/>
      <c r="WUU116" s="1"/>
      <c r="WUV116" s="1"/>
      <c r="WUW116" s="1"/>
      <c r="WUX116" s="1"/>
      <c r="WUY116" s="1"/>
      <c r="WUZ116" s="1"/>
      <c r="WVA116" s="1"/>
      <c r="WVB116" s="1"/>
      <c r="WVC116" s="1"/>
      <c r="WVD116" s="1"/>
      <c r="WVE116" s="1"/>
      <c r="WVF116" s="1"/>
      <c r="WVG116" s="1"/>
      <c r="WVH116" s="1"/>
      <c r="WVI116" s="1"/>
      <c r="WVJ116" s="1"/>
      <c r="WVK116" s="1"/>
      <c r="WVL116" s="1"/>
      <c r="WVM116" s="1"/>
      <c r="WVN116" s="1"/>
      <c r="WVO116" s="1"/>
      <c r="WVP116" s="1"/>
      <c r="WVQ116" s="1"/>
      <c r="WVR116" s="1"/>
      <c r="WVS116" s="1"/>
      <c r="WVT116" s="1"/>
      <c r="WVU116" s="1"/>
      <c r="WVV116" s="1"/>
      <c r="WVW116" s="1"/>
      <c r="WVX116" s="1"/>
      <c r="WVY116" s="1"/>
      <c r="WVZ116" s="1"/>
      <c r="WWA116" s="1"/>
      <c r="WWB116" s="1"/>
      <c r="WWC116" s="1"/>
      <c r="WWD116" s="1"/>
      <c r="WWE116" s="1"/>
      <c r="WWF116" s="1"/>
      <c r="WWG116" s="1"/>
      <c r="WWH116" s="1"/>
      <c r="WWI116" s="1"/>
      <c r="WWJ116" s="1"/>
      <c r="WWK116" s="1"/>
      <c r="WWL116" s="1"/>
      <c r="WWM116" s="1"/>
      <c r="WWN116" s="1"/>
      <c r="WWO116" s="1"/>
      <c r="WWP116" s="1"/>
      <c r="WWQ116" s="1"/>
      <c r="WWR116" s="1"/>
      <c r="WWS116" s="1"/>
      <c r="WWT116" s="1"/>
      <c r="WWU116" s="1"/>
      <c r="WWV116" s="1"/>
      <c r="WWW116" s="1"/>
      <c r="WWX116" s="1"/>
      <c r="WWY116" s="1"/>
      <c r="WWZ116" s="1"/>
      <c r="WXA116" s="1"/>
      <c r="WXB116" s="1"/>
      <c r="WXC116" s="1"/>
      <c r="WXD116" s="1"/>
      <c r="WXE116" s="1"/>
      <c r="WXF116" s="1"/>
      <c r="WXG116" s="1"/>
      <c r="WXH116" s="1"/>
      <c r="WXI116" s="1"/>
      <c r="WXJ116" s="1"/>
      <c r="WXK116" s="1"/>
      <c r="WXL116" s="1"/>
      <c r="WXM116" s="1"/>
      <c r="WXN116" s="1"/>
      <c r="WXO116" s="1"/>
      <c r="WXP116" s="1"/>
      <c r="WXQ116" s="1"/>
      <c r="WXR116" s="1"/>
      <c r="WXS116" s="1"/>
      <c r="WXT116" s="1"/>
      <c r="WXU116" s="1"/>
      <c r="WXV116" s="1"/>
      <c r="WXW116" s="1"/>
      <c r="WXX116" s="1"/>
      <c r="WXY116" s="1"/>
      <c r="WXZ116" s="1"/>
      <c r="WYA116" s="1"/>
      <c r="WYB116" s="1"/>
      <c r="WYC116" s="1"/>
      <c r="WYD116" s="1"/>
      <c r="WYE116" s="1"/>
      <c r="WYF116" s="1"/>
      <c r="WYG116" s="1"/>
      <c r="WYH116" s="1"/>
      <c r="WYI116" s="1"/>
      <c r="WYJ116" s="1"/>
      <c r="WYK116" s="1"/>
      <c r="WYL116" s="1"/>
      <c r="WYM116" s="1"/>
      <c r="WYN116" s="1"/>
      <c r="WYO116" s="1"/>
      <c r="WYP116" s="1"/>
      <c r="WYQ116" s="1"/>
      <c r="WYR116" s="1"/>
      <c r="WYS116" s="1"/>
      <c r="WYT116" s="1"/>
      <c r="WYU116" s="1"/>
      <c r="WYV116" s="1"/>
      <c r="WYW116" s="1"/>
      <c r="WYX116" s="1"/>
      <c r="WYY116" s="1"/>
      <c r="WYZ116" s="1"/>
      <c r="WZA116" s="1"/>
      <c r="WZB116" s="1"/>
      <c r="WZC116" s="1"/>
      <c r="WZD116" s="1"/>
      <c r="WZE116" s="1"/>
      <c r="WZF116" s="1"/>
      <c r="WZG116" s="1"/>
      <c r="WZH116" s="1"/>
      <c r="WZI116" s="1"/>
      <c r="WZJ116" s="1"/>
      <c r="WZK116" s="1"/>
      <c r="WZL116" s="1"/>
      <c r="WZM116" s="1"/>
      <c r="WZN116" s="1"/>
      <c r="WZO116" s="1"/>
      <c r="WZP116" s="1"/>
      <c r="WZQ116" s="1"/>
      <c r="WZR116" s="1"/>
      <c r="WZS116" s="1"/>
      <c r="WZT116" s="1"/>
      <c r="WZU116" s="1"/>
      <c r="WZV116" s="1"/>
      <c r="WZW116" s="1"/>
      <c r="WZX116" s="1"/>
      <c r="WZY116" s="1"/>
      <c r="WZZ116" s="1"/>
      <c r="XAA116" s="1"/>
      <c r="XAB116" s="1"/>
      <c r="XAC116" s="1"/>
      <c r="XAD116" s="1"/>
      <c r="XAE116" s="1"/>
      <c r="XAF116" s="1"/>
      <c r="XAG116" s="1"/>
      <c r="XAH116" s="1"/>
      <c r="XAI116" s="1"/>
      <c r="XAJ116" s="1"/>
      <c r="XAK116" s="1"/>
      <c r="XAL116" s="1"/>
      <c r="XAM116" s="1"/>
      <c r="XAN116" s="1"/>
      <c r="XAO116" s="1"/>
      <c r="XAP116" s="1"/>
      <c r="XAQ116" s="1"/>
      <c r="XAR116" s="1"/>
      <c r="XAS116" s="1"/>
      <c r="XAT116" s="1"/>
      <c r="XAU116" s="1"/>
      <c r="XAV116" s="1"/>
      <c r="XAW116" s="1"/>
      <c r="XAX116" s="1"/>
      <c r="XAY116" s="1"/>
      <c r="XAZ116" s="1"/>
      <c r="XBA116" s="1"/>
      <c r="XBB116" s="1"/>
      <c r="XBC116" s="1"/>
      <c r="XBD116" s="1"/>
      <c r="XBE116" s="1"/>
      <c r="XBF116" s="1"/>
      <c r="XBG116" s="1"/>
      <c r="XBH116" s="1"/>
      <c r="XBI116" s="1"/>
      <c r="XBJ116" s="1"/>
      <c r="XBK116" s="1"/>
      <c r="XBL116" s="1"/>
      <c r="XBM116" s="1"/>
      <c r="XBN116" s="1"/>
      <c r="XBO116" s="1"/>
      <c r="XBP116" s="1"/>
      <c r="XBQ116" s="1"/>
      <c r="XBR116" s="1"/>
      <c r="XBS116" s="1"/>
      <c r="XBT116" s="1"/>
      <c r="XBU116" s="1"/>
      <c r="XBV116" s="1"/>
      <c r="XBW116" s="1"/>
      <c r="XBX116" s="1"/>
      <c r="XBY116" s="1"/>
      <c r="XBZ116" s="1"/>
      <c r="XCA116" s="1"/>
      <c r="XCB116" s="1"/>
      <c r="XCC116" s="1"/>
      <c r="XCD116" s="1"/>
      <c r="XCE116" s="1"/>
      <c r="XCF116" s="1"/>
      <c r="XCG116" s="1"/>
      <c r="XCH116" s="1"/>
      <c r="XCI116" s="1"/>
      <c r="XCJ116" s="1"/>
      <c r="XCK116" s="1"/>
      <c r="XCL116" s="1"/>
      <c r="XCM116" s="1"/>
      <c r="XCN116" s="1"/>
      <c r="XCO116" s="1"/>
      <c r="XCP116" s="1"/>
      <c r="XCQ116" s="1"/>
      <c r="XCR116" s="1"/>
      <c r="XCS116" s="1"/>
      <c r="XCT116" s="1"/>
      <c r="XCU116" s="1"/>
      <c r="XCV116" s="1"/>
      <c r="XCW116" s="1"/>
      <c r="XCX116" s="1"/>
      <c r="XCY116" s="1"/>
      <c r="XCZ116" s="1"/>
      <c r="XDA116" s="1"/>
      <c r="XDB116" s="1"/>
      <c r="XDC116" s="1"/>
      <c r="XDD116" s="1"/>
      <c r="XDE116" s="1"/>
      <c r="XDF116" s="1"/>
      <c r="XDG116" s="1"/>
      <c r="XDH116" s="1"/>
      <c r="XDI116" s="1"/>
      <c r="XDJ116" s="1"/>
      <c r="XDK116" s="1"/>
      <c r="XDL116" s="1"/>
      <c r="XDM116" s="1"/>
      <c r="XDN116" s="1"/>
      <c r="XDO116" s="1"/>
      <c r="XDP116" s="1"/>
      <c r="XDQ116" s="1"/>
      <c r="XDR116" s="1"/>
      <c r="XDS116" s="1"/>
      <c r="XDT116" s="1"/>
      <c r="XDU116" s="1"/>
      <c r="XDV116" s="1"/>
      <c r="XDW116" s="1"/>
      <c r="XDX116" s="1"/>
      <c r="XDY116" s="1"/>
      <c r="XDZ116" s="1"/>
      <c r="XEA116" s="1"/>
      <c r="XEB116" s="1"/>
      <c r="XEC116" s="1"/>
      <c r="XED116" s="1"/>
      <c r="XEE116" s="1"/>
      <c r="XEF116" s="1"/>
      <c r="XEG116" s="1"/>
      <c r="XEH116" s="1"/>
      <c r="XEI116" s="1"/>
      <c r="XEJ116" s="1"/>
      <c r="XEK116" s="1"/>
      <c r="XEL116" s="1"/>
      <c r="XEM116" s="1"/>
      <c r="XEN116" s="1"/>
      <c r="XEO116" s="1"/>
      <c r="XEP116" s="1"/>
      <c r="XEQ116" s="1"/>
      <c r="XER116" s="1"/>
      <c r="XES116" s="1"/>
      <c r="XET116" s="1"/>
      <c r="XEU116" s="1"/>
      <c r="XEV116" s="1"/>
      <c r="XEW116" s="1"/>
      <c r="XEX116" s="1"/>
      <c r="XEY116" s="1"/>
    </row>
    <row r="117" spans="1:16379" x14ac:dyDescent="0.25">
      <c r="J117" s="108"/>
    </row>
  </sheetData>
  <mergeCells count="7">
    <mergeCell ref="A8:B8"/>
    <mergeCell ref="A1:S1"/>
    <mergeCell ref="A2:S2"/>
    <mergeCell ref="A3:S3"/>
    <mergeCell ref="A4:S4"/>
    <mergeCell ref="A5:S5"/>
    <mergeCell ref="A7:B7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ABRIL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Gantes</dc:creator>
  <cp:lastModifiedBy>Juan Pablo Rodriguez</cp:lastModifiedBy>
  <cp:lastPrinted>2022-05-06T19:37:01Z</cp:lastPrinted>
  <dcterms:created xsi:type="dcterms:W3CDTF">2022-05-06T19:34:33Z</dcterms:created>
  <dcterms:modified xsi:type="dcterms:W3CDTF">2022-05-16T13:47:52Z</dcterms:modified>
</cp:coreProperties>
</file>