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driguez\Desktop\2022\"/>
    </mc:Choice>
  </mc:AlternateContent>
  <xr:revisionPtr revIDLastSave="0" documentId="8_{6115C1A9-8ACB-422E-9631-26F2B7C50BC5}" xr6:coauthVersionLast="47" xr6:coauthVersionMax="47" xr10:uidLastSave="{00000000-0000-0000-0000-000000000000}"/>
  <bookViews>
    <workbookView xWindow="-120" yWindow="-120" windowWidth="24240" windowHeight="13140" xr2:uid="{ADC643C4-36CB-4E25-B6B8-F0F70F05EE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2" i="1" l="1"/>
  <c r="P113" i="1"/>
  <c r="L113" i="1"/>
  <c r="G113" i="1"/>
  <c r="S113" i="1" s="1"/>
  <c r="P112" i="1"/>
  <c r="L112" i="1"/>
  <c r="G112" i="1"/>
  <c r="M112" i="1" s="1"/>
  <c r="N112" i="1" s="1"/>
  <c r="P111" i="1"/>
  <c r="L111" i="1"/>
  <c r="G111" i="1"/>
  <c r="M111" i="1" s="1"/>
  <c r="N111" i="1" s="1"/>
  <c r="P110" i="1"/>
  <c r="M110" i="1"/>
  <c r="L110" i="1"/>
  <c r="N110" i="1" s="1"/>
  <c r="G110" i="1"/>
  <c r="P109" i="1"/>
  <c r="M109" i="1"/>
  <c r="L109" i="1"/>
  <c r="N109" i="1" s="1"/>
  <c r="G109" i="1"/>
  <c r="P108" i="1"/>
  <c r="L108" i="1"/>
  <c r="L106" i="1" s="1"/>
  <c r="G108" i="1"/>
  <c r="P107" i="1"/>
  <c r="P106" i="1" s="1"/>
  <c r="L107" i="1"/>
  <c r="G107" i="1"/>
  <c r="M107" i="1" s="1"/>
  <c r="N107" i="1" s="1"/>
  <c r="Q106" i="1"/>
  <c r="O106" i="1"/>
  <c r="K106" i="1"/>
  <c r="J106" i="1"/>
  <c r="H106" i="1"/>
  <c r="F106" i="1"/>
  <c r="F103" i="1" s="1"/>
  <c r="F8" i="1" s="1"/>
  <c r="E106" i="1"/>
  <c r="E103" i="1" s="1"/>
  <c r="G103" i="1" s="1"/>
  <c r="C106" i="1"/>
  <c r="P105" i="1"/>
  <c r="P104" i="1" s="1"/>
  <c r="P103" i="1" s="1"/>
  <c r="L105" i="1"/>
  <c r="N105" i="1" s="1"/>
  <c r="R104" i="1"/>
  <c r="Q104" i="1"/>
  <c r="O104" i="1"/>
  <c r="L104" i="1"/>
  <c r="K104" i="1"/>
  <c r="K103" i="1" s="1"/>
  <c r="S103" i="1" s="1"/>
  <c r="J104" i="1"/>
  <c r="J103" i="1" s="1"/>
  <c r="H104" i="1"/>
  <c r="G104" i="1"/>
  <c r="O103" i="1"/>
  <c r="H103" i="1"/>
  <c r="C103" i="1"/>
  <c r="Q102" i="1"/>
  <c r="P102" i="1"/>
  <c r="H102" i="1"/>
  <c r="L102" i="1" s="1"/>
  <c r="G102" i="1"/>
  <c r="P101" i="1"/>
  <c r="L101" i="1"/>
  <c r="G101" i="1"/>
  <c r="M101" i="1" s="1"/>
  <c r="N101" i="1" s="1"/>
  <c r="S100" i="1"/>
  <c r="R100" i="1"/>
  <c r="P100" i="1"/>
  <c r="H100" i="1"/>
  <c r="M100" i="1" s="1"/>
  <c r="G100" i="1"/>
  <c r="P99" i="1"/>
  <c r="L99" i="1"/>
  <c r="H99" i="1"/>
  <c r="Q99" i="1" s="1"/>
  <c r="G99" i="1"/>
  <c r="M99" i="1" s="1"/>
  <c r="P98" i="1"/>
  <c r="L98" i="1"/>
  <c r="K98" i="1"/>
  <c r="K96" i="1" s="1"/>
  <c r="J98" i="1"/>
  <c r="H98" i="1"/>
  <c r="H96" i="1" s="1"/>
  <c r="G98" i="1"/>
  <c r="P97" i="1"/>
  <c r="L97" i="1"/>
  <c r="G97" i="1"/>
  <c r="M97" i="1" s="1"/>
  <c r="N97" i="1" s="1"/>
  <c r="P96" i="1"/>
  <c r="O96" i="1"/>
  <c r="J96" i="1"/>
  <c r="R96" i="1" s="1"/>
  <c r="I96" i="1"/>
  <c r="G96" i="1"/>
  <c r="F96" i="1"/>
  <c r="E96" i="1"/>
  <c r="D96" i="1"/>
  <c r="C96" i="1"/>
  <c r="P95" i="1"/>
  <c r="G95" i="1"/>
  <c r="P94" i="1"/>
  <c r="G94" i="1"/>
  <c r="P93" i="1"/>
  <c r="H93" i="1"/>
  <c r="M93" i="1" s="1"/>
  <c r="G93" i="1"/>
  <c r="P92" i="1"/>
  <c r="L92" i="1"/>
  <c r="N92" i="1" s="1"/>
  <c r="H92" i="1"/>
  <c r="M92" i="1" s="1"/>
  <c r="G92" i="1"/>
  <c r="P91" i="1"/>
  <c r="G91" i="1"/>
  <c r="P90" i="1"/>
  <c r="H90" i="1"/>
  <c r="M90" i="1" s="1"/>
  <c r="G90" i="1"/>
  <c r="P89" i="1"/>
  <c r="P88" i="1" s="1"/>
  <c r="H89" i="1"/>
  <c r="M89" i="1" s="1"/>
  <c r="G89" i="1"/>
  <c r="O88" i="1"/>
  <c r="K88" i="1"/>
  <c r="J88" i="1"/>
  <c r="I88" i="1"/>
  <c r="F88" i="1"/>
  <c r="E88" i="1"/>
  <c r="G88" i="1" s="1"/>
  <c r="D88" i="1"/>
  <c r="C88" i="1"/>
  <c r="P87" i="1"/>
  <c r="L87" i="1"/>
  <c r="N87" i="1" s="1"/>
  <c r="G87" i="1"/>
  <c r="M87" i="1" s="1"/>
  <c r="P86" i="1"/>
  <c r="H86" i="1"/>
  <c r="Q86" i="1" s="1"/>
  <c r="G86" i="1"/>
  <c r="S85" i="1"/>
  <c r="R85" i="1"/>
  <c r="Q85" i="1"/>
  <c r="K85" i="1"/>
  <c r="P85" i="1" s="1"/>
  <c r="J85" i="1"/>
  <c r="H85" i="1"/>
  <c r="L85" i="1" s="1"/>
  <c r="N85" i="1" s="1"/>
  <c r="G85" i="1"/>
  <c r="P84" i="1"/>
  <c r="H84" i="1"/>
  <c r="Q84" i="1" s="1"/>
  <c r="G84" i="1"/>
  <c r="S84" i="1" s="1"/>
  <c r="R83" i="1"/>
  <c r="P83" i="1"/>
  <c r="H83" i="1"/>
  <c r="Q83" i="1" s="1"/>
  <c r="G83" i="1"/>
  <c r="S83" i="1" s="1"/>
  <c r="S82" i="1"/>
  <c r="Q82" i="1"/>
  <c r="P82" i="1"/>
  <c r="M82" i="1"/>
  <c r="L82" i="1"/>
  <c r="N82" i="1" s="1"/>
  <c r="K82" i="1"/>
  <c r="J82" i="1"/>
  <c r="R82" i="1" s="1"/>
  <c r="H82" i="1"/>
  <c r="G82" i="1"/>
  <c r="K81" i="1"/>
  <c r="S81" i="1" s="1"/>
  <c r="J81" i="1"/>
  <c r="R81" i="1" s="1"/>
  <c r="H81" i="1"/>
  <c r="L81" i="1" s="1"/>
  <c r="N81" i="1" s="1"/>
  <c r="G81" i="1"/>
  <c r="M81" i="1" s="1"/>
  <c r="Q80" i="1"/>
  <c r="M80" i="1"/>
  <c r="L80" i="1"/>
  <c r="N80" i="1" s="1"/>
  <c r="K80" i="1"/>
  <c r="P80" i="1" s="1"/>
  <c r="J80" i="1"/>
  <c r="R80" i="1" s="1"/>
  <c r="H80" i="1"/>
  <c r="G80" i="1"/>
  <c r="S80" i="1" s="1"/>
  <c r="P79" i="1"/>
  <c r="L79" i="1"/>
  <c r="N79" i="1" s="1"/>
  <c r="K79" i="1"/>
  <c r="Q79" i="1" s="1"/>
  <c r="J79" i="1"/>
  <c r="H79" i="1"/>
  <c r="M79" i="1" s="1"/>
  <c r="G79" i="1"/>
  <c r="P78" i="1"/>
  <c r="L78" i="1"/>
  <c r="N78" i="1" s="1"/>
  <c r="K78" i="1"/>
  <c r="S78" i="1" s="1"/>
  <c r="J78" i="1"/>
  <c r="R78" i="1" s="1"/>
  <c r="H78" i="1"/>
  <c r="Q78" i="1" s="1"/>
  <c r="G78" i="1"/>
  <c r="M78" i="1" s="1"/>
  <c r="P77" i="1"/>
  <c r="L77" i="1"/>
  <c r="G77" i="1"/>
  <c r="M77" i="1" s="1"/>
  <c r="P76" i="1"/>
  <c r="L76" i="1"/>
  <c r="G76" i="1"/>
  <c r="M76" i="1" s="1"/>
  <c r="N76" i="1" s="1"/>
  <c r="P75" i="1"/>
  <c r="M75" i="1"/>
  <c r="K75" i="1"/>
  <c r="Q75" i="1" s="1"/>
  <c r="J75" i="1"/>
  <c r="H75" i="1"/>
  <c r="L75" i="1" s="1"/>
  <c r="N75" i="1" s="1"/>
  <c r="G75" i="1"/>
  <c r="Q74" i="1"/>
  <c r="P74" i="1"/>
  <c r="M74" i="1"/>
  <c r="L74" i="1"/>
  <c r="N74" i="1" s="1"/>
  <c r="H74" i="1"/>
  <c r="G74" i="1"/>
  <c r="P73" i="1"/>
  <c r="L73" i="1"/>
  <c r="G73" i="1"/>
  <c r="M73" i="1" s="1"/>
  <c r="Q72" i="1"/>
  <c r="P72" i="1"/>
  <c r="L72" i="1"/>
  <c r="H72" i="1"/>
  <c r="G72" i="1"/>
  <c r="M72" i="1" s="1"/>
  <c r="P71" i="1"/>
  <c r="L71" i="1"/>
  <c r="N71" i="1" s="1"/>
  <c r="G71" i="1"/>
  <c r="M71" i="1" s="1"/>
  <c r="P70" i="1"/>
  <c r="M70" i="1"/>
  <c r="L70" i="1"/>
  <c r="N70" i="1" s="1"/>
  <c r="G70" i="1"/>
  <c r="S69" i="1"/>
  <c r="R69" i="1"/>
  <c r="P69" i="1"/>
  <c r="L69" i="1"/>
  <c r="N69" i="1" s="1"/>
  <c r="K69" i="1"/>
  <c r="Q69" i="1" s="1"/>
  <c r="J69" i="1"/>
  <c r="H69" i="1"/>
  <c r="G69" i="1"/>
  <c r="M69" i="1" s="1"/>
  <c r="P68" i="1"/>
  <c r="M68" i="1"/>
  <c r="L68" i="1"/>
  <c r="N68" i="1" s="1"/>
  <c r="G68" i="1"/>
  <c r="S67" i="1"/>
  <c r="R67" i="1"/>
  <c r="P67" i="1"/>
  <c r="L67" i="1"/>
  <c r="H67" i="1"/>
  <c r="Q67" i="1" s="1"/>
  <c r="G67" i="1"/>
  <c r="M67" i="1" s="1"/>
  <c r="P66" i="1"/>
  <c r="H66" i="1"/>
  <c r="Q66" i="1" s="1"/>
  <c r="G66" i="1"/>
  <c r="S66" i="1" s="1"/>
  <c r="P65" i="1"/>
  <c r="L65" i="1"/>
  <c r="H65" i="1"/>
  <c r="Q65" i="1" s="1"/>
  <c r="G65" i="1"/>
  <c r="M65" i="1" s="1"/>
  <c r="P64" i="1"/>
  <c r="H64" i="1"/>
  <c r="Q64" i="1" s="1"/>
  <c r="G64" i="1"/>
  <c r="S64" i="1" s="1"/>
  <c r="R63" i="1"/>
  <c r="K63" i="1"/>
  <c r="S63" i="1" s="1"/>
  <c r="J63" i="1"/>
  <c r="H63" i="1"/>
  <c r="M63" i="1" s="1"/>
  <c r="G63" i="1"/>
  <c r="S62" i="1"/>
  <c r="R62" i="1"/>
  <c r="Q62" i="1"/>
  <c r="P62" i="1"/>
  <c r="L62" i="1"/>
  <c r="H62" i="1"/>
  <c r="G62" i="1"/>
  <c r="M62" i="1" s="1"/>
  <c r="S61" i="1"/>
  <c r="P61" i="1"/>
  <c r="H61" i="1"/>
  <c r="Q61" i="1" s="1"/>
  <c r="G61" i="1"/>
  <c r="R61" i="1" s="1"/>
  <c r="S60" i="1"/>
  <c r="R60" i="1"/>
  <c r="P60" i="1"/>
  <c r="H60" i="1"/>
  <c r="Q60" i="1" s="1"/>
  <c r="G60" i="1"/>
  <c r="M60" i="1" s="1"/>
  <c r="K59" i="1"/>
  <c r="Q59" i="1" s="1"/>
  <c r="J59" i="1"/>
  <c r="H59" i="1"/>
  <c r="L59" i="1" s="1"/>
  <c r="G59" i="1"/>
  <c r="M59" i="1" s="1"/>
  <c r="P58" i="1"/>
  <c r="M58" i="1"/>
  <c r="L58" i="1"/>
  <c r="N58" i="1" s="1"/>
  <c r="G58" i="1"/>
  <c r="P57" i="1"/>
  <c r="L57" i="1"/>
  <c r="N57" i="1" s="1"/>
  <c r="G57" i="1"/>
  <c r="M57" i="1" s="1"/>
  <c r="S56" i="1"/>
  <c r="Q56" i="1"/>
  <c r="P56" i="1"/>
  <c r="M56" i="1"/>
  <c r="L56" i="1"/>
  <c r="N56" i="1" s="1"/>
  <c r="K56" i="1"/>
  <c r="J56" i="1"/>
  <c r="R56" i="1" s="1"/>
  <c r="H56" i="1"/>
  <c r="G56" i="1"/>
  <c r="K55" i="1"/>
  <c r="S55" i="1" s="1"/>
  <c r="J55" i="1"/>
  <c r="R55" i="1" s="1"/>
  <c r="H55" i="1"/>
  <c r="L55" i="1" s="1"/>
  <c r="G55" i="1"/>
  <c r="M55" i="1" s="1"/>
  <c r="O54" i="1"/>
  <c r="I54" i="1"/>
  <c r="F54" i="1"/>
  <c r="E54" i="1"/>
  <c r="D54" i="1"/>
  <c r="D8" i="1" s="1"/>
  <c r="D7" i="1" s="1"/>
  <c r="C54" i="1"/>
  <c r="P53" i="1"/>
  <c r="L53" i="1"/>
  <c r="G53" i="1"/>
  <c r="M53" i="1" s="1"/>
  <c r="N53" i="1" s="1"/>
  <c r="P52" i="1"/>
  <c r="O52" i="1"/>
  <c r="K52" i="1"/>
  <c r="Q52" i="1" s="1"/>
  <c r="J52" i="1"/>
  <c r="R52" i="1" s="1"/>
  <c r="H52" i="1"/>
  <c r="L52" i="1" s="1"/>
  <c r="G52" i="1"/>
  <c r="M52" i="1" s="1"/>
  <c r="Q51" i="1"/>
  <c r="P51" i="1"/>
  <c r="M51" i="1"/>
  <c r="L51" i="1"/>
  <c r="N51" i="1" s="1"/>
  <c r="K51" i="1"/>
  <c r="J51" i="1"/>
  <c r="R51" i="1" s="1"/>
  <c r="H51" i="1"/>
  <c r="G51" i="1"/>
  <c r="Q50" i="1"/>
  <c r="P50" i="1"/>
  <c r="M50" i="1"/>
  <c r="L50" i="1"/>
  <c r="N50" i="1" s="1"/>
  <c r="K50" i="1"/>
  <c r="J50" i="1"/>
  <c r="R50" i="1" s="1"/>
  <c r="H50" i="1"/>
  <c r="G50" i="1"/>
  <c r="P49" i="1"/>
  <c r="L49" i="1"/>
  <c r="G49" i="1"/>
  <c r="M49" i="1" s="1"/>
  <c r="S48" i="1"/>
  <c r="P48" i="1"/>
  <c r="L48" i="1"/>
  <c r="G48" i="1"/>
  <c r="R48" i="1" s="1"/>
  <c r="R47" i="1"/>
  <c r="P47" i="1"/>
  <c r="H47" i="1"/>
  <c r="Q47" i="1" s="1"/>
  <c r="G47" i="1"/>
  <c r="S47" i="1" s="1"/>
  <c r="Q46" i="1"/>
  <c r="P46" i="1"/>
  <c r="M46" i="1"/>
  <c r="L46" i="1"/>
  <c r="N46" i="1" s="1"/>
  <c r="H46" i="1"/>
  <c r="G46" i="1"/>
  <c r="S46" i="1" s="1"/>
  <c r="Q45" i="1"/>
  <c r="P45" i="1"/>
  <c r="L45" i="1"/>
  <c r="G45" i="1"/>
  <c r="S45" i="1" s="1"/>
  <c r="R44" i="1"/>
  <c r="P44" i="1"/>
  <c r="H44" i="1"/>
  <c r="M44" i="1" s="1"/>
  <c r="G44" i="1"/>
  <c r="S44" i="1" s="1"/>
  <c r="P43" i="1"/>
  <c r="L43" i="1"/>
  <c r="K43" i="1"/>
  <c r="J43" i="1"/>
  <c r="R43" i="1" s="1"/>
  <c r="H43" i="1"/>
  <c r="Q43" i="1" s="1"/>
  <c r="G43" i="1"/>
  <c r="S43" i="1" s="1"/>
  <c r="S42" i="1"/>
  <c r="R42" i="1"/>
  <c r="P42" i="1"/>
  <c r="L42" i="1"/>
  <c r="H42" i="1"/>
  <c r="Q42" i="1" s="1"/>
  <c r="G42" i="1"/>
  <c r="P41" i="1"/>
  <c r="H41" i="1"/>
  <c r="Q41" i="1" s="1"/>
  <c r="G41" i="1"/>
  <c r="S41" i="1" s="1"/>
  <c r="Q40" i="1"/>
  <c r="M40" i="1"/>
  <c r="L40" i="1"/>
  <c r="N40" i="1" s="1"/>
  <c r="K40" i="1"/>
  <c r="P40" i="1" s="1"/>
  <c r="J40" i="1"/>
  <c r="R40" i="1" s="1"/>
  <c r="H40" i="1"/>
  <c r="G40" i="1"/>
  <c r="P39" i="1"/>
  <c r="L39" i="1"/>
  <c r="G39" i="1"/>
  <c r="M39" i="1" s="1"/>
  <c r="N39" i="1" s="1"/>
  <c r="S38" i="1"/>
  <c r="Q38" i="1"/>
  <c r="P38" i="1"/>
  <c r="M38" i="1"/>
  <c r="L38" i="1"/>
  <c r="N38" i="1" s="1"/>
  <c r="H38" i="1"/>
  <c r="G38" i="1"/>
  <c r="R38" i="1" s="1"/>
  <c r="R37" i="1"/>
  <c r="P37" i="1"/>
  <c r="L37" i="1"/>
  <c r="N37" i="1" s="1"/>
  <c r="K37" i="1"/>
  <c r="S37" i="1" s="1"/>
  <c r="J37" i="1"/>
  <c r="H37" i="1"/>
  <c r="M37" i="1" s="1"/>
  <c r="G37" i="1"/>
  <c r="Q36" i="1"/>
  <c r="P36" i="1"/>
  <c r="L36" i="1"/>
  <c r="H36" i="1"/>
  <c r="G36" i="1"/>
  <c r="S36" i="1" s="1"/>
  <c r="Q35" i="1"/>
  <c r="O35" i="1"/>
  <c r="K35" i="1"/>
  <c r="P35" i="1" s="1"/>
  <c r="J35" i="1"/>
  <c r="H35" i="1"/>
  <c r="L35" i="1" s="1"/>
  <c r="G35" i="1"/>
  <c r="M35" i="1" s="1"/>
  <c r="R34" i="1"/>
  <c r="P34" i="1"/>
  <c r="L34" i="1"/>
  <c r="H34" i="1"/>
  <c r="Q34" i="1" s="1"/>
  <c r="G34" i="1"/>
  <c r="S34" i="1" s="1"/>
  <c r="P33" i="1"/>
  <c r="L33" i="1"/>
  <c r="G33" i="1"/>
  <c r="M33" i="1" s="1"/>
  <c r="P32" i="1"/>
  <c r="H32" i="1"/>
  <c r="Q32" i="1" s="1"/>
  <c r="G32" i="1"/>
  <c r="S32" i="1" s="1"/>
  <c r="S31" i="1"/>
  <c r="Q31" i="1"/>
  <c r="P31" i="1"/>
  <c r="M31" i="1"/>
  <c r="L31" i="1"/>
  <c r="N31" i="1" s="1"/>
  <c r="H31" i="1"/>
  <c r="G31" i="1"/>
  <c r="R31" i="1" s="1"/>
  <c r="R30" i="1"/>
  <c r="P30" i="1"/>
  <c r="L30" i="1"/>
  <c r="H30" i="1"/>
  <c r="Q30" i="1" s="1"/>
  <c r="G30" i="1"/>
  <c r="S30" i="1" s="1"/>
  <c r="P29" i="1"/>
  <c r="L29" i="1"/>
  <c r="K29" i="1"/>
  <c r="Q29" i="1" s="1"/>
  <c r="J29" i="1"/>
  <c r="R29" i="1" s="1"/>
  <c r="H29" i="1"/>
  <c r="G29" i="1"/>
  <c r="S29" i="1" s="1"/>
  <c r="S28" i="1"/>
  <c r="Q28" i="1"/>
  <c r="P28" i="1"/>
  <c r="M28" i="1"/>
  <c r="K28" i="1"/>
  <c r="J28" i="1"/>
  <c r="R28" i="1" s="1"/>
  <c r="H28" i="1"/>
  <c r="L28" i="1" s="1"/>
  <c r="N28" i="1" s="1"/>
  <c r="G28" i="1"/>
  <c r="P27" i="1"/>
  <c r="H27" i="1"/>
  <c r="Q27" i="1" s="1"/>
  <c r="G27" i="1"/>
  <c r="S27" i="1" s="1"/>
  <c r="R26" i="1"/>
  <c r="P26" i="1"/>
  <c r="H26" i="1"/>
  <c r="Q26" i="1" s="1"/>
  <c r="G26" i="1"/>
  <c r="S26" i="1" s="1"/>
  <c r="S25" i="1"/>
  <c r="Q25" i="1"/>
  <c r="P25" i="1"/>
  <c r="M25" i="1"/>
  <c r="L25" i="1"/>
  <c r="N25" i="1" s="1"/>
  <c r="K25" i="1"/>
  <c r="J25" i="1"/>
  <c r="J20" i="1" s="1"/>
  <c r="H25" i="1"/>
  <c r="G25" i="1"/>
  <c r="P24" i="1"/>
  <c r="L24" i="1"/>
  <c r="G24" i="1"/>
  <c r="M24" i="1" s="1"/>
  <c r="R23" i="1"/>
  <c r="P23" i="1"/>
  <c r="L23" i="1"/>
  <c r="K23" i="1"/>
  <c r="Q23" i="1" s="1"/>
  <c r="J23" i="1"/>
  <c r="H23" i="1"/>
  <c r="M23" i="1" s="1"/>
  <c r="G23" i="1"/>
  <c r="Q22" i="1"/>
  <c r="P22" i="1"/>
  <c r="L22" i="1"/>
  <c r="H22" i="1"/>
  <c r="G22" i="1"/>
  <c r="R22" i="1" s="1"/>
  <c r="S21" i="1"/>
  <c r="R21" i="1"/>
  <c r="Q21" i="1"/>
  <c r="P21" i="1"/>
  <c r="M21" i="1"/>
  <c r="K21" i="1"/>
  <c r="I21" i="1"/>
  <c r="N21" i="1" s="1"/>
  <c r="H21" i="1"/>
  <c r="L21" i="1" s="1"/>
  <c r="G21" i="1"/>
  <c r="O20" i="1"/>
  <c r="I20" i="1"/>
  <c r="F20" i="1"/>
  <c r="E20" i="1"/>
  <c r="D20" i="1"/>
  <c r="C20" i="1"/>
  <c r="O19" i="1"/>
  <c r="L19" i="1"/>
  <c r="K19" i="1"/>
  <c r="P19" i="1" s="1"/>
  <c r="J19" i="1"/>
  <c r="R19" i="1" s="1"/>
  <c r="H19" i="1"/>
  <c r="Q19" i="1" s="1"/>
  <c r="G19" i="1"/>
  <c r="P18" i="1"/>
  <c r="H18" i="1"/>
  <c r="M18" i="1" s="1"/>
  <c r="G18" i="1"/>
  <c r="P17" i="1"/>
  <c r="G17" i="1"/>
  <c r="H17" i="1" s="1"/>
  <c r="Q16" i="1"/>
  <c r="O16" i="1"/>
  <c r="K16" i="1"/>
  <c r="S16" i="1" s="1"/>
  <c r="J16" i="1"/>
  <c r="H16" i="1"/>
  <c r="M16" i="1" s="1"/>
  <c r="G16" i="1"/>
  <c r="R16" i="1" s="1"/>
  <c r="S15" i="1"/>
  <c r="Q15" i="1"/>
  <c r="P15" i="1"/>
  <c r="O15" i="1"/>
  <c r="M15" i="1"/>
  <c r="K15" i="1"/>
  <c r="J15" i="1"/>
  <c r="R15" i="1" s="1"/>
  <c r="H15" i="1"/>
  <c r="L15" i="1" s="1"/>
  <c r="N15" i="1" s="1"/>
  <c r="G15" i="1"/>
  <c r="O14" i="1"/>
  <c r="L14" i="1"/>
  <c r="K14" i="1"/>
  <c r="S14" i="1" s="1"/>
  <c r="J14" i="1"/>
  <c r="R14" i="1" s="1"/>
  <c r="H14" i="1"/>
  <c r="Q14" i="1" s="1"/>
  <c r="G14" i="1"/>
  <c r="O13" i="1"/>
  <c r="K13" i="1"/>
  <c r="S13" i="1" s="1"/>
  <c r="J13" i="1"/>
  <c r="H13" i="1"/>
  <c r="L13" i="1" s="1"/>
  <c r="G13" i="1"/>
  <c r="G9" i="1" s="1"/>
  <c r="Q12" i="1"/>
  <c r="O12" i="1"/>
  <c r="K12" i="1"/>
  <c r="S12" i="1" s="1"/>
  <c r="J12" i="1"/>
  <c r="R12" i="1" s="1"/>
  <c r="H12" i="1"/>
  <c r="M12" i="1" s="1"/>
  <c r="G12" i="1"/>
  <c r="S11" i="1"/>
  <c r="Q11" i="1"/>
  <c r="P11" i="1"/>
  <c r="O11" i="1"/>
  <c r="M11" i="1"/>
  <c r="K11" i="1"/>
  <c r="J11" i="1"/>
  <c r="R11" i="1" s="1"/>
  <c r="H11" i="1"/>
  <c r="L11" i="1" s="1"/>
  <c r="N11" i="1" s="1"/>
  <c r="G11" i="1"/>
  <c r="O10" i="1"/>
  <c r="O9" i="1" s="1"/>
  <c r="O8" i="1" s="1"/>
  <c r="O7" i="1" s="1"/>
  <c r="L10" i="1"/>
  <c r="K10" i="1"/>
  <c r="S10" i="1" s="1"/>
  <c r="J10" i="1"/>
  <c r="R10" i="1" s="1"/>
  <c r="H10" i="1"/>
  <c r="Q10" i="1" s="1"/>
  <c r="G10" i="1"/>
  <c r="K9" i="1"/>
  <c r="S9" i="1" s="1"/>
  <c r="I9" i="1"/>
  <c r="F9" i="1"/>
  <c r="E9" i="1"/>
  <c r="E8" i="1" s="1"/>
  <c r="E7" i="1" s="1"/>
  <c r="D9" i="1"/>
  <c r="C9" i="1"/>
  <c r="I8" i="1"/>
  <c r="I7" i="1" s="1"/>
  <c r="C8" i="1"/>
  <c r="C7" i="1" s="1"/>
  <c r="N59" i="1" l="1"/>
  <c r="N73" i="1"/>
  <c r="M17" i="1"/>
  <c r="L17" i="1"/>
  <c r="H9" i="1"/>
  <c r="N77" i="1"/>
  <c r="S96" i="1"/>
  <c r="Q96" i="1"/>
  <c r="M106" i="1"/>
  <c r="M103" i="1" s="1"/>
  <c r="N67" i="1"/>
  <c r="L96" i="1"/>
  <c r="N102" i="1"/>
  <c r="N23" i="1"/>
  <c r="N48" i="1"/>
  <c r="M91" i="1"/>
  <c r="N99" i="1"/>
  <c r="P20" i="1"/>
  <c r="N24" i="1"/>
  <c r="N33" i="1"/>
  <c r="N49" i="1"/>
  <c r="N43" i="1"/>
  <c r="N14" i="1"/>
  <c r="R103" i="1"/>
  <c r="N22" i="1"/>
  <c r="N35" i="1"/>
  <c r="M95" i="1"/>
  <c r="N52" i="1"/>
  <c r="N65" i="1"/>
  <c r="N72" i="1"/>
  <c r="L103" i="1"/>
  <c r="N19" i="1"/>
  <c r="L54" i="1"/>
  <c r="N55" i="1"/>
  <c r="N62" i="1"/>
  <c r="M10" i="1"/>
  <c r="N10" i="1" s="1"/>
  <c r="M14" i="1"/>
  <c r="M19" i="1"/>
  <c r="L27" i="1"/>
  <c r="M30" i="1"/>
  <c r="N30" i="1" s="1"/>
  <c r="M34" i="1"/>
  <c r="N34" i="1" s="1"/>
  <c r="R35" i="1"/>
  <c r="L41" i="1"/>
  <c r="N41" i="1" s="1"/>
  <c r="M48" i="1"/>
  <c r="L64" i="1"/>
  <c r="N64" i="1" s="1"/>
  <c r="L66" i="1"/>
  <c r="N66" i="1" s="1"/>
  <c r="L84" i="1"/>
  <c r="N84" i="1" s="1"/>
  <c r="H95" i="1"/>
  <c r="L95" i="1" s="1"/>
  <c r="M98" i="1"/>
  <c r="M96" i="1" s="1"/>
  <c r="R102" i="1"/>
  <c r="G106" i="1"/>
  <c r="R106" i="1" s="1"/>
  <c r="J9" i="1"/>
  <c r="M27" i="1"/>
  <c r="L32" i="1"/>
  <c r="S35" i="1"/>
  <c r="M41" i="1"/>
  <c r="Q44" i="1"/>
  <c r="M64" i="1"/>
  <c r="M66" i="1"/>
  <c r="M84" i="1"/>
  <c r="N98" i="1"/>
  <c r="N96" i="1" s="1"/>
  <c r="Q100" i="1"/>
  <c r="S102" i="1"/>
  <c r="G54" i="1"/>
  <c r="M32" i="1"/>
  <c r="P10" i="1"/>
  <c r="P14" i="1"/>
  <c r="R25" i="1"/>
  <c r="Q37" i="1"/>
  <c r="R46" i="1"/>
  <c r="H54" i="1"/>
  <c r="L61" i="1"/>
  <c r="N61" i="1" s="1"/>
  <c r="L86" i="1"/>
  <c r="L90" i="1"/>
  <c r="N90" i="1" s="1"/>
  <c r="Q98" i="1"/>
  <c r="N108" i="1"/>
  <c r="N106" i="1" s="1"/>
  <c r="M22" i="1"/>
  <c r="M20" i="1" s="1"/>
  <c r="R27" i="1"/>
  <c r="M36" i="1"/>
  <c r="N36" i="1" s="1"/>
  <c r="R41" i="1"/>
  <c r="M43" i="1"/>
  <c r="J54" i="1"/>
  <c r="R54" i="1" s="1"/>
  <c r="R64" i="1"/>
  <c r="R66" i="1"/>
  <c r="R84" i="1"/>
  <c r="L93" i="1"/>
  <c r="N93" i="1" s="1"/>
  <c r="N104" i="1"/>
  <c r="M61" i="1"/>
  <c r="M54" i="1" s="1"/>
  <c r="M86" i="1"/>
  <c r="R32" i="1"/>
  <c r="M45" i="1"/>
  <c r="N45" i="1" s="1"/>
  <c r="K54" i="1"/>
  <c r="P55" i="1"/>
  <c r="P59" i="1"/>
  <c r="P81" i="1"/>
  <c r="M13" i="1"/>
  <c r="N13" i="1" s="1"/>
  <c r="L12" i="1"/>
  <c r="N12" i="1" s="1"/>
  <c r="P13" i="1"/>
  <c r="L16" i="1"/>
  <c r="N16" i="1" s="1"/>
  <c r="L18" i="1"/>
  <c r="N18" i="1" s="1"/>
  <c r="L26" i="1"/>
  <c r="L20" i="1" s="1"/>
  <c r="M29" i="1"/>
  <c r="N29" i="1" s="1"/>
  <c r="L47" i="1"/>
  <c r="N47" i="1" s="1"/>
  <c r="Q55" i="1"/>
  <c r="L63" i="1"/>
  <c r="N63" i="1" s="1"/>
  <c r="Q81" i="1"/>
  <c r="L83" i="1"/>
  <c r="N83" i="1" s="1"/>
  <c r="Q9" i="1"/>
  <c r="Q13" i="1"/>
  <c r="M26" i="1"/>
  <c r="M47" i="1"/>
  <c r="M83" i="1"/>
  <c r="H91" i="1"/>
  <c r="L91" i="1" s="1"/>
  <c r="R13" i="1"/>
  <c r="R36" i="1"/>
  <c r="G20" i="1"/>
  <c r="G8" i="1" s="1"/>
  <c r="G7" i="1" s="1"/>
  <c r="S22" i="1"/>
  <c r="M42" i="1"/>
  <c r="N42" i="1" s="1"/>
  <c r="R45" i="1"/>
  <c r="L60" i="1"/>
  <c r="N60" i="1" s="1"/>
  <c r="P63" i="1"/>
  <c r="H94" i="1"/>
  <c r="L94" i="1" s="1"/>
  <c r="P12" i="1"/>
  <c r="P16" i="1"/>
  <c r="H20" i="1"/>
  <c r="Q63" i="1"/>
  <c r="M113" i="1"/>
  <c r="N113" i="1" s="1"/>
  <c r="L44" i="1"/>
  <c r="N44" i="1" s="1"/>
  <c r="L89" i="1"/>
  <c r="L100" i="1"/>
  <c r="N100" i="1" s="1"/>
  <c r="K20" i="1"/>
  <c r="N86" i="1" l="1"/>
  <c r="N103" i="1"/>
  <c r="N26" i="1"/>
  <c r="N20" i="1" s="1"/>
  <c r="N32" i="1"/>
  <c r="N27" i="1"/>
  <c r="Q20" i="1"/>
  <c r="S20" i="1"/>
  <c r="S106" i="1"/>
  <c r="P9" i="1"/>
  <c r="R9" i="1"/>
  <c r="J8" i="1"/>
  <c r="M94" i="1"/>
  <c r="M88" i="1" s="1"/>
  <c r="N94" i="1"/>
  <c r="L88" i="1"/>
  <c r="N89" i="1"/>
  <c r="N91" i="1"/>
  <c r="H88" i="1"/>
  <c r="K8" i="1"/>
  <c r="M9" i="1"/>
  <c r="H8" i="1"/>
  <c r="H7" i="1" s="1"/>
  <c r="N17" i="1"/>
  <c r="N9" i="1" s="1"/>
  <c r="S54" i="1"/>
  <c r="Q54" i="1"/>
  <c r="R20" i="1"/>
  <c r="L9" i="1"/>
  <c r="L8" i="1" s="1"/>
  <c r="L7" i="1" s="1"/>
  <c r="P54" i="1"/>
  <c r="N95" i="1"/>
  <c r="N54" i="1"/>
  <c r="P8" i="1" l="1"/>
  <c r="P7" i="1" s="1"/>
  <c r="M8" i="1"/>
  <c r="M7" i="1" s="1"/>
  <c r="S8" i="1"/>
  <c r="Q8" i="1"/>
  <c r="K7" i="1"/>
  <c r="N88" i="1"/>
  <c r="N8" i="1" s="1"/>
  <c r="N7" i="1" s="1"/>
  <c r="R8" i="1"/>
  <c r="J7" i="1"/>
  <c r="R7" i="1" s="1"/>
  <c r="S7" i="1" l="1"/>
  <c r="Q7" i="1"/>
</calcChain>
</file>

<file path=xl/sharedStrings.xml><?xml version="1.0" encoding="utf-8"?>
<sst xmlns="http://schemas.openxmlformats.org/spreadsheetml/2006/main" count="183" uniqueCount="167">
  <si>
    <t xml:space="preserve">  </t>
  </si>
  <si>
    <t>DIRECCIÓN DE ADMINISTRACIÓN Y FINANZAS - DEPARTAMENTO DE PRESUPUESTO</t>
  </si>
  <si>
    <t>INFORME DE EJECUCIÓN PRESUPUESTARIA (FUNCIONAMIENTO)</t>
  </si>
  <si>
    <t>AL 28 de febrero 2022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</si>
  <si>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</si>
  <si>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</si>
  <si>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</si>
  <si>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</si>
  <si>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>(2)    CONTENSIÓN DEL GASTO</t>
  </si>
  <si>
    <t xml:space="preserve"> (3) PRESUPUESTO LEY                                
</t>
  </si>
  <si>
    <t xml:space="preserve">(4)                    CREDITOS EXTRAORDINARIOS / TRASLADOS   </t>
  </si>
  <si>
    <t xml:space="preserve"> (5) PRESUPUESTO MODIFICADO                                
</t>
  </si>
  <si>
    <t xml:space="preserve">(6)                 ASIGNADO 
</t>
  </si>
  <si>
    <t xml:space="preserve">(7)                    SALDO DE CONTRATOS POR EJECUTAR </t>
  </si>
  <si>
    <t xml:space="preserve">(8)            COMPROMISO MENSUAL      </t>
  </si>
  <si>
    <t>(9)     COMPROMISOS   /EJECUTADO</t>
  </si>
  <si>
    <t xml:space="preserve">(10)                 SALDO A LA FECHA                  (H6-K9)           </t>
  </si>
  <si>
    <t>(11)                     SALDO POR ASIGNAR          (G5-H6)</t>
  </si>
  <si>
    <t>(12)                                   SALDO ANUAL    (-I7+L10+M11)</t>
  </si>
  <si>
    <t xml:space="preserve">(13)                 PAGADO </t>
  </si>
  <si>
    <t>(14 )                        POR PAGAR A LA FECHA   (K9-O13)</t>
  </si>
  <si>
    <t>% EJEC. (COMP. EJEC. VS PRES. ASIG.) 
(K9/H6)</t>
  </si>
  <si>
    <t>% EJEC. (COMP. MENS. VS PRES. MOD.) 
(J8/G5)</t>
  </si>
  <si>
    <t>(13)   % EJEC. (COMP. EJEC.  VS PRES. MOD.) 
(K9/G5)</t>
  </si>
  <si>
    <t>FUNCIONAMIENTO E INVERSIONES</t>
  </si>
  <si>
    <t xml:space="preserve">FUNCIONAMIENTO </t>
  </si>
  <si>
    <t>SERVICIOS PERSONALES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</si>
  <si>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</si>
  <si>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</si>
  <si>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</si>
  <si>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</si>
  <si>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</si>
  <si>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</si>
  <si>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</si>
  <si>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</si>
  <si>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</si>
  <si>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</si>
  <si>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</si>
  <si>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</si>
  <si>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</si>
  <si>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</si>
  <si>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SUELDOS</t>
  </si>
  <si>
    <t>096</t>
  </si>
  <si>
    <t>III MES</t>
  </si>
  <si>
    <t>099</t>
  </si>
  <si>
    <t>CONTRIBUCIONES A LA SEGURIDAD</t>
  </si>
  <si>
    <t>SERVICIOS NO PERSONALES</t>
  </si>
  <si>
    <t>DE EDIFICIOS Y LOCALES</t>
  </si>
  <si>
    <t>DE EQUIPO ELECTRONICO</t>
  </si>
  <si>
    <t>103</t>
  </si>
  <si>
    <t>DE EQUIPO DE OFICINA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</si>
  <si>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</si>
  <si>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</si>
  <si>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</si>
  <si>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</si>
  <si>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</si>
  <si>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</si>
  <si>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</si>
  <si>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</si>
  <si>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</si>
  <si>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</si>
  <si>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</si>
  <si>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</si>
  <si>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</si>
  <si>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</si>
  <si>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</si>
  <si>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</si>
  <si>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</si>
  <si>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</si>
  <si>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VIÁTICOSS DENTRO DEL PAIS</t>
  </si>
  <si>
    <t>142</t>
  </si>
  <si>
    <t>VIATICOS EN EL EXTERIOR</t>
  </si>
  <si>
    <t>151</t>
  </si>
  <si>
    <t>TRANSPORTE DENTRO DEL PAIS</t>
  </si>
  <si>
    <t>TRANSPORTE DE O PARA EL EXTERIOR</t>
  </si>
  <si>
    <t>TRANSPORTE DE OTRAS PERRSONAS</t>
  </si>
  <si>
    <t>TRANSPRTE DE BIENES</t>
  </si>
  <si>
    <t>164</t>
  </si>
  <si>
    <t>GASTOS DE SEGUROS</t>
  </si>
  <si>
    <t>SERVICIOS COMERCIALES</t>
  </si>
  <si>
    <t>169</t>
  </si>
  <si>
    <t>OTROS SERVICIOS COMERCIALES Y FINANCIEROS</t>
  </si>
  <si>
    <t>CONSULTORÍAS</t>
  </si>
  <si>
    <t>172</t>
  </si>
  <si>
    <t>SERVICIOS ESPECIALES</t>
  </si>
  <si>
    <t>181</t>
  </si>
  <si>
    <t>MANTENIMIENTO Y REP. DE EDIFICIOS</t>
  </si>
  <si>
    <t>182</t>
  </si>
  <si>
    <t>MANT. Y REP. DE MAQUINARIAS Y OTROS EQ.</t>
  </si>
  <si>
    <t xml:space="preserve">MANT. Y REP. DE EQUIPO COMPUTACIÓN </t>
  </si>
  <si>
    <t>SERVICIOS BÁSICOS</t>
  </si>
  <si>
    <t xml:space="preserve"> VIÁTICOS</t>
  </si>
  <si>
    <t>TRANSPORTE DE PERSONAS Y B</t>
  </si>
  <si>
    <t>SERVICIOS COMERCIALES Y FINANCIEROS</t>
  </si>
  <si>
    <t>MANTENIMIENTO Y REPARACIÓN</t>
  </si>
  <si>
    <t>MATERIALES Y SUMINISTROS</t>
  </si>
  <si>
    <t>ALIMENTO PARA CONSUMO HUMANO</t>
  </si>
  <si>
    <t>203</t>
  </si>
  <si>
    <t>BEBIDAS</t>
  </si>
  <si>
    <t>ACABADO TEXTIL</t>
  </si>
  <si>
    <t>CALZADO</t>
  </si>
  <si>
    <t>PRENDAS DE VESTIR</t>
  </si>
  <si>
    <t>221</t>
  </si>
  <si>
    <t>DIESEL</t>
  </si>
  <si>
    <t>223</t>
  </si>
  <si>
    <t>GASOLINA</t>
  </si>
  <si>
    <t>224</t>
  </si>
  <si>
    <t>LUBRICANTES</t>
  </si>
  <si>
    <t>IMPRESOS</t>
  </si>
  <si>
    <t>232</t>
  </si>
  <si>
    <t>PAPELERIA</t>
  </si>
  <si>
    <t>OTROS PRODUCTOS DE PAPEL Y CARTON</t>
  </si>
  <si>
    <t xml:space="preserve">INSECTICIDAS, FUMIGANTES Y OTROS </t>
  </si>
  <si>
    <t>243</t>
  </si>
  <si>
    <t>PINTURAS, COLORANTES Y TINTES</t>
  </si>
  <si>
    <t>PRODUCTOS MEDICINALES Y FARMACÉUTICOS</t>
  </si>
  <si>
    <t>249</t>
  </si>
  <si>
    <t>OTROS PRODUCTOS QUÍMICOS</t>
  </si>
  <si>
    <t>CEMENTO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</si>
  <si>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</si>
  <si>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</si>
  <si>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</si>
  <si>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</si>
  <si>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</si>
  <si>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</si>
  <si>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</si>
  <si>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</si>
  <si>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</si>
  <si>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</si>
  <si>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HERRAMIENTAS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</si>
  <si>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</si>
  <si>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</si>
  <si>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</si>
  <si>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</si>
  <si>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</si>
  <si>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</si>
  <si>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</si>
  <si>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</si>
  <si>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</si>
  <si>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</si>
  <si>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</si>
  <si>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</si>
  <si>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</si>
  <si>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</si>
  <si>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TEXTILES Y VESTUARIO</t>
  </si>
  <si>
    <t xml:space="preserve"> PRODUCTOS VARIOS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</si>
  <si>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</si>
  <si>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</si>
  <si>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</si>
  <si>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</si>
  <si>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</si>
  <si>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</si>
  <si>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</si>
  <si>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</si>
  <si>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</si>
  <si>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</si>
  <si>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</si>
  <si>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TRANSFERENCIAS CORRIENTES</t>
  </si>
  <si>
    <t>INDEMNIZACIONES LABORALES</t>
  </si>
  <si>
    <t>624</t>
  </si>
  <si>
    <t>CAPACITACION Y ESTUDIO</t>
  </si>
  <si>
    <t>629</t>
  </si>
  <si>
    <t>OTRAS BECAS</t>
  </si>
  <si>
    <t>OTRAS TRANSFERENCIAS AL EXTERIOR</t>
  </si>
  <si>
    <t>A PERSONAS</t>
  </si>
  <si>
    <t>AL EXTERIOR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</si>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</sst>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3" fontId="2" fillId="0" borderId="7" xfId="0" applyNumberFormat="1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9" fontId="2" fillId="0" borderId="7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wrapText="1"/>
    </xf>
    <xf numFmtId="3" fontId="2" fillId="0" borderId="8" xfId="0" applyNumberFormat="1" applyFont="1" applyBorder="1" applyAlignment="1">
      <alignment wrapText="1"/>
    </xf>
    <xf numFmtId="3" fontId="2" fillId="0" borderId="3" xfId="0" applyNumberFormat="1" applyFont="1" applyBorder="1" applyAlignment="1">
      <alignment wrapText="1"/>
    </xf>
    <xf numFmtId="9" fontId="2" fillId="0" borderId="2" xfId="0" applyNumberFormat="1" applyFont="1" applyBorder="1" applyAlignment="1">
      <alignment horizontal="right" vertical="center" wrapText="1"/>
    </xf>
    <xf numFmtId="0" fontId="2" fillId="0" borderId="7" xfId="0" applyFont="1" applyBorder="1"/>
    <xf numFmtId="0" fontId="2" fillId="0" borderId="6" xfId="0" applyFont="1" applyBorder="1" applyAlignment="1">
      <alignment horizontal="left" wrapText="1"/>
    </xf>
    <xf numFmtId="3" fontId="2" fillId="0" borderId="7" xfId="0" applyNumberFormat="1" applyFont="1" applyBorder="1"/>
    <xf numFmtId="3" fontId="2" fillId="0" borderId="6" xfId="0" applyNumberFormat="1" applyFont="1" applyBorder="1"/>
    <xf numFmtId="3" fontId="2" fillId="0" borderId="9" xfId="0" applyNumberFormat="1" applyFont="1" applyBorder="1"/>
    <xf numFmtId="9" fontId="6" fillId="0" borderId="6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wrapText="1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39" fontId="0" fillId="0" borderId="11" xfId="0" applyNumberFormat="1" applyBorder="1"/>
    <xf numFmtId="3" fontId="7" fillId="0" borderId="0" xfId="0" applyNumberFormat="1" applyFont="1" applyProtection="1">
      <protection locked="0"/>
    </xf>
    <xf numFmtId="39" fontId="0" fillId="0" borderId="12" xfId="0" applyNumberFormat="1" applyBorder="1"/>
    <xf numFmtId="3" fontId="8" fillId="0" borderId="13" xfId="0" applyNumberFormat="1" applyFont="1" applyBorder="1"/>
    <xf numFmtId="39" fontId="0" fillId="0" borderId="14" xfId="0" applyNumberFormat="1" applyBorder="1"/>
    <xf numFmtId="3" fontId="6" fillId="0" borderId="13" xfId="0" applyNumberFormat="1" applyFont="1" applyBorder="1" applyAlignment="1">
      <alignment wrapText="1"/>
    </xf>
    <xf numFmtId="39" fontId="0" fillId="0" borderId="10" xfId="0" applyNumberFormat="1" applyBorder="1"/>
    <xf numFmtId="9" fontId="6" fillId="0" borderId="13" xfId="0" applyNumberFormat="1" applyFont="1" applyBorder="1" applyAlignment="1">
      <alignment horizontal="right" vertical="center" wrapText="1"/>
    </xf>
    <xf numFmtId="0" fontId="7" fillId="0" borderId="10" xfId="0" quotePrefix="1" applyFont="1" applyBorder="1" applyAlignment="1" applyProtection="1">
      <alignment horizontal="left"/>
      <protection locked="0"/>
    </xf>
    <xf numFmtId="37" fontId="0" fillId="0" borderId="11" xfId="0" applyNumberFormat="1" applyBorder="1"/>
    <xf numFmtId="37" fontId="0" fillId="0" borderId="12" xfId="0" applyNumberForma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0" fontId="7" fillId="0" borderId="0" xfId="0" applyFont="1" applyAlignment="1" applyProtection="1">
      <alignment horizontal="left" wrapText="1"/>
      <protection locked="0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right" vertical="center" wrapText="1"/>
    </xf>
    <xf numFmtId="37" fontId="0" fillId="0" borderId="14" xfId="0" applyNumberFormat="1" applyBorder="1"/>
    <xf numFmtId="0" fontId="2" fillId="0" borderId="7" xfId="0" applyFont="1" applyBorder="1" applyAlignment="1" applyProtection="1">
      <alignment horizontal="right" vertical="center"/>
      <protection locked="0"/>
    </xf>
    <xf numFmtId="3" fontId="2" fillId="0" borderId="7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9" xfId="0" applyNumberFormat="1" applyFont="1" applyBorder="1" applyAlignment="1">
      <alignment vertical="center" wrapText="1"/>
    </xf>
    <xf numFmtId="3" fontId="8" fillId="0" borderId="6" xfId="0" applyNumberFormat="1" applyFont="1" applyBorder="1"/>
    <xf numFmtId="0" fontId="7" fillId="0" borderId="13" xfId="0" applyFont="1" applyBorder="1" applyProtection="1">
      <protection locked="0"/>
    </xf>
    <xf numFmtId="3" fontId="7" fillId="0" borderId="13" xfId="0" applyNumberFormat="1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3" fontId="7" fillId="0" borderId="15" xfId="0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3" fontId="3" fillId="0" borderId="6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2" fillId="0" borderId="6" xfId="0" applyNumberFormat="1" applyFont="1" applyBorder="1" applyProtection="1">
      <protection locked="0"/>
    </xf>
    <xf numFmtId="3" fontId="3" fillId="0" borderId="9" xfId="0" applyNumberFormat="1" applyFont="1" applyBorder="1" applyProtection="1">
      <protection locked="0"/>
    </xf>
    <xf numFmtId="3" fontId="3" fillId="0" borderId="7" xfId="0" applyNumberFormat="1" applyFont="1" applyBorder="1" applyProtection="1">
      <protection locked="0"/>
    </xf>
    <xf numFmtId="3" fontId="8" fillId="0" borderId="16" xfId="0" applyNumberFormat="1" applyFont="1" applyBorder="1"/>
    <xf numFmtId="3" fontId="3" fillId="0" borderId="13" xfId="0" applyNumberFormat="1" applyFont="1" applyBorder="1" applyProtection="1">
      <protection locked="0"/>
    </xf>
    <xf numFmtId="39" fontId="0" fillId="0" borderId="15" xfId="0" applyNumberFormat="1" applyBorder="1"/>
    <xf numFmtId="0" fontId="4" fillId="0" borderId="7" xfId="0" applyFont="1" applyBorder="1"/>
    <xf numFmtId="164" fontId="4" fillId="0" borderId="6" xfId="1" applyFont="1" applyFill="1" applyBorder="1"/>
    <xf numFmtId="3" fontId="4" fillId="0" borderId="6" xfId="1" applyNumberFormat="1" applyFont="1" applyFill="1" applyBorder="1"/>
    <xf numFmtId="3" fontId="4" fillId="0" borderId="1" xfId="1" applyNumberFormat="1" applyFont="1" applyFill="1" applyBorder="1"/>
    <xf numFmtId="3" fontId="4" fillId="0" borderId="3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9" xfId="0" applyNumberFormat="1" applyFont="1" applyBorder="1"/>
    <xf numFmtId="0" fontId="7" fillId="0" borderId="2" xfId="0" applyFont="1" applyBorder="1" applyAlignment="1" applyProtection="1">
      <alignment horizontal="left"/>
      <protection locked="0"/>
    </xf>
    <xf numFmtId="3" fontId="3" fillId="0" borderId="2" xfId="0" applyNumberFormat="1" applyFont="1" applyBorder="1" applyProtection="1">
      <protection locked="0"/>
    </xf>
    <xf numFmtId="3" fontId="3" fillId="0" borderId="8" xfId="0" applyNumberFormat="1" applyFont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37" fontId="0" fillId="0" borderId="17" xfId="0" applyNumberFormat="1" applyBorder="1"/>
    <xf numFmtId="3" fontId="2" fillId="0" borderId="18" xfId="0" applyNumberFormat="1" applyFont="1" applyBorder="1" applyProtection="1">
      <protection locked="0"/>
    </xf>
    <xf numFmtId="3" fontId="8" fillId="0" borderId="3" xfId="0" applyNumberFormat="1" applyFont="1" applyBorder="1"/>
    <xf numFmtId="3" fontId="3" fillId="0" borderId="3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3" fontId="7" fillId="0" borderId="19" xfId="0" applyNumberFormat="1" applyFont="1" applyBorder="1" applyProtection="1">
      <protection locked="0"/>
    </xf>
    <xf numFmtId="3" fontId="7" fillId="0" borderId="8" xfId="0" applyNumberFormat="1" applyFont="1" applyBorder="1" applyProtection="1">
      <protection locked="0"/>
    </xf>
    <xf numFmtId="3" fontId="7" fillId="0" borderId="3" xfId="0" applyNumberFormat="1" applyFont="1" applyBorder="1" applyProtection="1">
      <protection locked="0"/>
    </xf>
    <xf numFmtId="3" fontId="7" fillId="0" borderId="20" xfId="0" applyNumberFormat="1" applyFont="1" applyBorder="1" applyProtection="1">
      <protection locked="0"/>
    </xf>
    <xf numFmtId="3" fontId="8" fillId="0" borderId="21" xfId="0" applyNumberFormat="1" applyFont="1" applyBorder="1"/>
    <xf numFmtId="37" fontId="0" fillId="0" borderId="3" xfId="0" applyNumberFormat="1" applyBorder="1"/>
    <xf numFmtId="3" fontId="6" fillId="0" borderId="10" xfId="0" applyNumberFormat="1" applyFont="1" applyBorder="1" applyAlignment="1">
      <alignment wrapText="1"/>
    </xf>
    <xf numFmtId="3" fontId="7" fillId="0" borderId="2" xfId="0" applyNumberFormat="1" applyFont="1" applyBorder="1" applyProtection="1">
      <protection locked="0"/>
    </xf>
    <xf numFmtId="37" fontId="0" fillId="0" borderId="8" xfId="0" applyNumberFormat="1" applyBorder="1"/>
    <xf numFmtId="39" fontId="0" fillId="0" borderId="2" xfId="0" applyNumberFormat="1" applyBorder="1"/>
    <xf numFmtId="9" fontId="6" fillId="0" borderId="2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Protection="1">
      <protection locked="0"/>
    </xf>
    <xf numFmtId="3" fontId="8" fillId="0" borderId="22" xfId="0" applyNumberFormat="1" applyFont="1" applyBorder="1"/>
    <xf numFmtId="37" fontId="0" fillId="0" borderId="13" xfId="0" applyNumberFormat="1" applyBorder="1"/>
    <xf numFmtId="37" fontId="0" fillId="0" borderId="19" xfId="0" applyNumberFormat="1" applyBorder="1"/>
    <xf numFmtId="9" fontId="6" fillId="0" borderId="10" xfId="0" applyNumberFormat="1" applyFont="1" applyBorder="1" applyAlignment="1">
      <alignment horizontal="right" vertical="center" wrapText="1"/>
    </xf>
    <xf numFmtId="0" fontId="7" fillId="0" borderId="23" xfId="0" applyFont="1" applyBorder="1" applyAlignment="1" applyProtection="1">
      <alignment horizontal="left"/>
      <protection locked="0"/>
    </xf>
    <xf numFmtId="0" fontId="7" fillId="0" borderId="24" xfId="0" applyFont="1" applyBorder="1" applyProtection="1">
      <protection locked="0"/>
    </xf>
    <xf numFmtId="3" fontId="7" fillId="0" borderId="23" xfId="0" applyNumberFormat="1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3" fontId="7" fillId="0" borderId="24" xfId="0" applyNumberFormat="1" applyFont="1" applyBorder="1" applyProtection="1">
      <protection locked="0"/>
    </xf>
    <xf numFmtId="3" fontId="8" fillId="0" borderId="26" xfId="0" applyNumberFormat="1" applyFont="1" applyBorder="1"/>
    <xf numFmtId="3" fontId="8" fillId="0" borderId="27" xfId="0" applyNumberFormat="1" applyFont="1" applyBorder="1"/>
    <xf numFmtId="37" fontId="0" fillId="0" borderId="24" xfId="0" applyNumberFormat="1" applyBorder="1"/>
    <xf numFmtId="37" fontId="0" fillId="0" borderId="23" xfId="0" applyNumberFormat="1" applyBorder="1"/>
    <xf numFmtId="3" fontId="6" fillId="0" borderId="23" xfId="0" applyNumberFormat="1" applyFont="1" applyBorder="1" applyAlignment="1">
      <alignment wrapText="1"/>
    </xf>
    <xf numFmtId="37" fontId="0" fillId="0" borderId="25" xfId="0" applyNumberFormat="1" applyBorder="1"/>
    <xf numFmtId="39" fontId="0" fillId="0" borderId="23" xfId="0" applyNumberFormat="1" applyBorder="1"/>
    <xf numFmtId="9" fontId="6" fillId="0" borderId="23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wrapText="1"/>
    </xf>
    <xf numFmtId="3" fontId="2" fillId="0" borderId="29" xfId="0" applyNumberFormat="1" applyFont="1" applyBorder="1" applyAlignment="1">
      <alignment wrapText="1"/>
    </xf>
    <xf numFmtId="3" fontId="2" fillId="0" borderId="30" xfId="0" applyNumberFormat="1" applyFont="1" applyBorder="1"/>
    <xf numFmtId="3" fontId="2" fillId="0" borderId="30" xfId="0" applyNumberFormat="1" applyFont="1" applyBorder="1" applyAlignment="1">
      <alignment vertical="center"/>
    </xf>
    <xf numFmtId="3" fontId="2" fillId="0" borderId="30" xfId="0" applyNumberFormat="1" applyFont="1" applyBorder="1" applyAlignment="1">
      <alignment vertical="center" wrapText="1"/>
    </xf>
    <xf numFmtId="3" fontId="7" fillId="0" borderId="11" xfId="0" applyNumberFormat="1" applyFont="1" applyBorder="1" applyProtection="1">
      <protection locked="0"/>
    </xf>
    <xf numFmtId="3" fontId="7" fillId="0" borderId="31" xfId="0" applyNumberFormat="1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3" fontId="8" fillId="0" borderId="32" xfId="0" applyNumberFormat="1" applyFont="1" applyBorder="1"/>
    <xf numFmtId="39" fontId="0" fillId="0" borderId="31" xfId="0" applyNumberFormat="1" applyBorder="1"/>
    <xf numFmtId="3" fontId="4" fillId="0" borderId="33" xfId="1" applyNumberFormat="1" applyFont="1" applyFill="1" applyBorder="1"/>
    <xf numFmtId="3" fontId="3" fillId="0" borderId="30" xfId="0" applyNumberFormat="1" applyFont="1" applyBorder="1" applyProtection="1">
      <protection locked="0"/>
    </xf>
    <xf numFmtId="3" fontId="3" fillId="0" borderId="29" xfId="0" applyNumberFormat="1" applyFont="1" applyBorder="1" applyProtection="1">
      <protection locked="0"/>
    </xf>
    <xf numFmtId="3" fontId="7" fillId="0" borderId="29" xfId="0" applyNumberFormat="1" applyFont="1" applyBorder="1" applyProtection="1"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Millares 3" xfId="1" xr:uid="{C8136C8E-3E47-4AEC-AE4D-FB73F35C47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18</xdr:col>
      <xdr:colOff>533400</xdr:colOff>
      <xdr:row>0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9E02A-38E3-4DE8-A57B-12CCC6004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18</xdr:col>
      <xdr:colOff>533400</xdr:colOff>
      <xdr:row>44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E92D1A1-CB57-41F0-8A57-0ACDCAE44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886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18</xdr:col>
      <xdr:colOff>533400</xdr:colOff>
      <xdr:row>40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1209E08-A6B2-40E0-9166-8A470C032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124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533400</xdr:colOff>
      <xdr:row>42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2E3BC4F-441D-410F-98D7-4DA79238F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505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71</xdr:row>
      <xdr:rowOff>0</xdr:rowOff>
    </xdr:from>
    <xdr:to>
      <xdr:col>18</xdr:col>
      <xdr:colOff>533400</xdr:colOff>
      <xdr:row>71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DF4362C-D9BF-4201-B029-16D76010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011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18</xdr:col>
      <xdr:colOff>533400</xdr:colOff>
      <xdr:row>44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E4F57EE-2A62-4E09-9046-AA21C3AB8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886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18</xdr:col>
      <xdr:colOff>533400</xdr:colOff>
      <xdr:row>40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5C466FE9-CBDC-4FC5-8CA9-1742EB08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124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533400</xdr:colOff>
      <xdr:row>42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C2A002BD-541A-4388-B7BC-2188BD4B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505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70</xdr:row>
      <xdr:rowOff>0</xdr:rowOff>
    </xdr:from>
    <xdr:to>
      <xdr:col>18</xdr:col>
      <xdr:colOff>533400</xdr:colOff>
      <xdr:row>70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947508CF-6B90-4B50-9415-6B18221C5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820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18</xdr:col>
      <xdr:colOff>533400</xdr:colOff>
      <xdr:row>44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26159FEA-25E5-4A46-8652-A0EE2EAB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886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18</xdr:col>
      <xdr:colOff>533400</xdr:colOff>
      <xdr:row>40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942C1419-1A07-4128-B186-34898ECF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124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533400</xdr:colOff>
      <xdr:row>42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D9F30640-0993-4BD7-9D89-E3BC6FB73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8505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70</xdr:row>
      <xdr:rowOff>0</xdr:rowOff>
    </xdr:from>
    <xdr:to>
      <xdr:col>18</xdr:col>
      <xdr:colOff>533400</xdr:colOff>
      <xdr:row>70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3173638-DBC7-4ADA-8B2C-256791B86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820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0</xdr:colOff>
      <xdr:row>56</xdr:row>
      <xdr:rowOff>0</xdr:rowOff>
    </xdr:from>
    <xdr:ext cx="1295400" cy="28575"/>
    <xdr:pic>
      <xdr:nvPicPr>
        <xdr:cNvPr id="15" name="Picture 1">
          <a:extLst>
            <a:ext uri="{FF2B5EF4-FFF2-40B4-BE49-F238E27FC236}">
              <a16:creationId xmlns:a16="http://schemas.microsoft.com/office/drawing/2014/main" id="{80FE01D3-E146-4A7D-9423-309C3643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15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56</xdr:row>
      <xdr:rowOff>0</xdr:rowOff>
    </xdr:from>
    <xdr:ext cx="1295400" cy="28575"/>
    <xdr:pic>
      <xdr:nvPicPr>
        <xdr:cNvPr id="16" name="Picture 1">
          <a:extLst>
            <a:ext uri="{FF2B5EF4-FFF2-40B4-BE49-F238E27FC236}">
              <a16:creationId xmlns:a16="http://schemas.microsoft.com/office/drawing/2014/main" id="{75466A96-64AB-44AA-AE86-FC880F8C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15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56</xdr:row>
      <xdr:rowOff>0</xdr:rowOff>
    </xdr:from>
    <xdr:ext cx="1295400" cy="28575"/>
    <xdr:pic>
      <xdr:nvPicPr>
        <xdr:cNvPr id="17" name="Picture 1">
          <a:extLst>
            <a:ext uri="{FF2B5EF4-FFF2-40B4-BE49-F238E27FC236}">
              <a16:creationId xmlns:a16="http://schemas.microsoft.com/office/drawing/2014/main" id="{27ACF5D4-799A-48B0-9F71-F1CC695F6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15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57</xdr:row>
      <xdr:rowOff>0</xdr:rowOff>
    </xdr:from>
    <xdr:ext cx="1295400" cy="28575"/>
    <xdr:pic>
      <xdr:nvPicPr>
        <xdr:cNvPr id="18" name="Picture 1">
          <a:extLst>
            <a:ext uri="{FF2B5EF4-FFF2-40B4-BE49-F238E27FC236}">
              <a16:creationId xmlns:a16="http://schemas.microsoft.com/office/drawing/2014/main" id="{8B2856FD-FA3C-4FD2-8DC8-4D5012D8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34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57</xdr:row>
      <xdr:rowOff>0</xdr:rowOff>
    </xdr:from>
    <xdr:ext cx="1295400" cy="28575"/>
    <xdr:pic>
      <xdr:nvPicPr>
        <xdr:cNvPr id="19" name="Picture 1">
          <a:extLst>
            <a:ext uri="{FF2B5EF4-FFF2-40B4-BE49-F238E27FC236}">
              <a16:creationId xmlns:a16="http://schemas.microsoft.com/office/drawing/2014/main" id="{F2E37ADE-D410-48D6-AF5E-51A5E0BCF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34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58</xdr:row>
      <xdr:rowOff>0</xdr:rowOff>
    </xdr:from>
    <xdr:ext cx="1295400" cy="28575"/>
    <xdr:pic>
      <xdr:nvPicPr>
        <xdr:cNvPr id="20" name="Picture 1">
          <a:extLst>
            <a:ext uri="{FF2B5EF4-FFF2-40B4-BE49-F238E27FC236}">
              <a16:creationId xmlns:a16="http://schemas.microsoft.com/office/drawing/2014/main" id="{41461530-C235-47EB-AEFC-7C5B7F5D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53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59</xdr:row>
      <xdr:rowOff>0</xdr:rowOff>
    </xdr:from>
    <xdr:ext cx="1295400" cy="28575"/>
    <xdr:pic>
      <xdr:nvPicPr>
        <xdr:cNvPr id="21" name="Picture 1">
          <a:extLst>
            <a:ext uri="{FF2B5EF4-FFF2-40B4-BE49-F238E27FC236}">
              <a16:creationId xmlns:a16="http://schemas.microsoft.com/office/drawing/2014/main" id="{4EE5DAE7-E07A-4050-995D-F2EC690A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2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59</xdr:row>
      <xdr:rowOff>0</xdr:rowOff>
    </xdr:from>
    <xdr:ext cx="1295400" cy="28575"/>
    <xdr:pic>
      <xdr:nvPicPr>
        <xdr:cNvPr id="22" name="Picture 1">
          <a:extLst>
            <a:ext uri="{FF2B5EF4-FFF2-40B4-BE49-F238E27FC236}">
              <a16:creationId xmlns:a16="http://schemas.microsoft.com/office/drawing/2014/main" id="{D2C16EB6-C541-4333-A188-CB013292B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2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60</xdr:row>
      <xdr:rowOff>0</xdr:rowOff>
    </xdr:from>
    <xdr:ext cx="1295400" cy="28575"/>
    <xdr:pic>
      <xdr:nvPicPr>
        <xdr:cNvPr id="23" name="Picture 1">
          <a:extLst>
            <a:ext uri="{FF2B5EF4-FFF2-40B4-BE49-F238E27FC236}">
              <a16:creationId xmlns:a16="http://schemas.microsoft.com/office/drawing/2014/main" id="{7D7AB812-34B5-4DB9-A1D9-B9F54882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1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60</xdr:row>
      <xdr:rowOff>0</xdr:rowOff>
    </xdr:from>
    <xdr:ext cx="1295400" cy="28575"/>
    <xdr:pic>
      <xdr:nvPicPr>
        <xdr:cNvPr id="24" name="Picture 1">
          <a:extLst>
            <a:ext uri="{FF2B5EF4-FFF2-40B4-BE49-F238E27FC236}">
              <a16:creationId xmlns:a16="http://schemas.microsoft.com/office/drawing/2014/main" id="{5F254E9E-52B7-410F-80DA-EC383C37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1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60</xdr:row>
      <xdr:rowOff>0</xdr:rowOff>
    </xdr:from>
    <xdr:ext cx="1295400" cy="28575"/>
    <xdr:pic>
      <xdr:nvPicPr>
        <xdr:cNvPr id="25" name="Picture 1">
          <a:extLst>
            <a:ext uri="{FF2B5EF4-FFF2-40B4-BE49-F238E27FC236}">
              <a16:creationId xmlns:a16="http://schemas.microsoft.com/office/drawing/2014/main" id="{C1C2F2ED-9854-4518-B4CD-C085066D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1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61</xdr:row>
      <xdr:rowOff>0</xdr:rowOff>
    </xdr:from>
    <xdr:ext cx="1295400" cy="28575"/>
    <xdr:pic>
      <xdr:nvPicPr>
        <xdr:cNvPr id="26" name="Picture 1">
          <a:extLst>
            <a:ext uri="{FF2B5EF4-FFF2-40B4-BE49-F238E27FC236}">
              <a16:creationId xmlns:a16="http://schemas.microsoft.com/office/drawing/2014/main" id="{F3F4894F-0E54-4B1D-AFBF-6B4C8763D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10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62</xdr:row>
      <xdr:rowOff>0</xdr:rowOff>
    </xdr:from>
    <xdr:ext cx="1295400" cy="28575"/>
    <xdr:pic>
      <xdr:nvPicPr>
        <xdr:cNvPr id="27" name="Picture 1">
          <a:extLst>
            <a:ext uri="{FF2B5EF4-FFF2-40B4-BE49-F238E27FC236}">
              <a16:creationId xmlns:a16="http://schemas.microsoft.com/office/drawing/2014/main" id="{6B659C30-5672-4D9D-97EE-0FB13FE7B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9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62</xdr:row>
      <xdr:rowOff>0</xdr:rowOff>
    </xdr:from>
    <xdr:ext cx="1295400" cy="28575"/>
    <xdr:pic>
      <xdr:nvPicPr>
        <xdr:cNvPr id="28" name="Picture 1">
          <a:extLst>
            <a:ext uri="{FF2B5EF4-FFF2-40B4-BE49-F238E27FC236}">
              <a16:creationId xmlns:a16="http://schemas.microsoft.com/office/drawing/2014/main" id="{9665CA4A-77B6-42F0-8CB8-F4BF8A1A5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9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63</xdr:row>
      <xdr:rowOff>0</xdr:rowOff>
    </xdr:from>
    <xdr:ext cx="1295400" cy="28575"/>
    <xdr:pic>
      <xdr:nvPicPr>
        <xdr:cNvPr id="29" name="Picture 1">
          <a:extLst>
            <a:ext uri="{FF2B5EF4-FFF2-40B4-BE49-F238E27FC236}">
              <a16:creationId xmlns:a16="http://schemas.microsoft.com/office/drawing/2014/main" id="{E1CA7AC6-7DC0-4E9B-A092-0B817535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48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65</xdr:row>
      <xdr:rowOff>0</xdr:rowOff>
    </xdr:from>
    <xdr:ext cx="1295400" cy="28575"/>
    <xdr:pic>
      <xdr:nvPicPr>
        <xdr:cNvPr id="30" name="Picture 1">
          <a:extLst>
            <a:ext uri="{FF2B5EF4-FFF2-40B4-BE49-F238E27FC236}">
              <a16:creationId xmlns:a16="http://schemas.microsoft.com/office/drawing/2014/main" id="{46BE19AE-68AC-475B-AF22-1857A30D5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6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65</xdr:row>
      <xdr:rowOff>0</xdr:rowOff>
    </xdr:from>
    <xdr:ext cx="1295400" cy="28575"/>
    <xdr:pic>
      <xdr:nvPicPr>
        <xdr:cNvPr id="31" name="Picture 1">
          <a:extLst>
            <a:ext uri="{FF2B5EF4-FFF2-40B4-BE49-F238E27FC236}">
              <a16:creationId xmlns:a16="http://schemas.microsoft.com/office/drawing/2014/main" id="{935686B4-A3E0-4623-AB88-22DF7AA0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6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66</xdr:row>
      <xdr:rowOff>0</xdr:rowOff>
    </xdr:from>
    <xdr:ext cx="1295400" cy="28575"/>
    <xdr:pic>
      <xdr:nvPicPr>
        <xdr:cNvPr id="32" name="Picture 1">
          <a:extLst>
            <a:ext uri="{FF2B5EF4-FFF2-40B4-BE49-F238E27FC236}">
              <a16:creationId xmlns:a16="http://schemas.microsoft.com/office/drawing/2014/main" id="{8E080916-4159-43C6-9888-CAB6F0539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05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66</xdr:row>
      <xdr:rowOff>0</xdr:rowOff>
    </xdr:from>
    <xdr:ext cx="1295400" cy="28575"/>
    <xdr:pic>
      <xdr:nvPicPr>
        <xdr:cNvPr id="33" name="Picture 1">
          <a:extLst>
            <a:ext uri="{FF2B5EF4-FFF2-40B4-BE49-F238E27FC236}">
              <a16:creationId xmlns:a16="http://schemas.microsoft.com/office/drawing/2014/main" id="{1ABCB8AC-4B8A-445D-B883-9089E45A4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05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66</xdr:row>
      <xdr:rowOff>0</xdr:rowOff>
    </xdr:from>
    <xdr:ext cx="1295400" cy="28575"/>
    <xdr:pic>
      <xdr:nvPicPr>
        <xdr:cNvPr id="34" name="Picture 1">
          <a:extLst>
            <a:ext uri="{FF2B5EF4-FFF2-40B4-BE49-F238E27FC236}">
              <a16:creationId xmlns:a16="http://schemas.microsoft.com/office/drawing/2014/main" id="{7992E451-6C6F-48FF-AE1E-5AD953DA2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05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67</xdr:row>
      <xdr:rowOff>0</xdr:rowOff>
    </xdr:from>
    <xdr:ext cx="1295400" cy="28575"/>
    <xdr:pic>
      <xdr:nvPicPr>
        <xdr:cNvPr id="35" name="Picture 1">
          <a:extLst>
            <a:ext uri="{FF2B5EF4-FFF2-40B4-BE49-F238E27FC236}">
              <a16:creationId xmlns:a16="http://schemas.microsoft.com/office/drawing/2014/main" id="{68FE5AB7-A7B8-4712-AFAB-07E90F06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49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67</xdr:row>
      <xdr:rowOff>0</xdr:rowOff>
    </xdr:from>
    <xdr:ext cx="1295400" cy="28575"/>
    <xdr:pic>
      <xdr:nvPicPr>
        <xdr:cNvPr id="36" name="Picture 1">
          <a:extLst>
            <a:ext uri="{FF2B5EF4-FFF2-40B4-BE49-F238E27FC236}">
              <a16:creationId xmlns:a16="http://schemas.microsoft.com/office/drawing/2014/main" id="{934FACE8-C6A9-4230-BEF4-3F6FD5185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49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67</xdr:row>
      <xdr:rowOff>0</xdr:rowOff>
    </xdr:from>
    <xdr:ext cx="1295400" cy="28575"/>
    <xdr:pic>
      <xdr:nvPicPr>
        <xdr:cNvPr id="37" name="Picture 1">
          <a:extLst>
            <a:ext uri="{FF2B5EF4-FFF2-40B4-BE49-F238E27FC236}">
              <a16:creationId xmlns:a16="http://schemas.microsoft.com/office/drawing/2014/main" id="{BB754C56-DABC-42D2-9300-89823D42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49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68</xdr:row>
      <xdr:rowOff>0</xdr:rowOff>
    </xdr:from>
    <xdr:ext cx="1295400" cy="28575"/>
    <xdr:pic>
      <xdr:nvPicPr>
        <xdr:cNvPr id="38" name="Picture 1">
          <a:extLst>
            <a:ext uri="{FF2B5EF4-FFF2-40B4-BE49-F238E27FC236}">
              <a16:creationId xmlns:a16="http://schemas.microsoft.com/office/drawing/2014/main" id="{6061CD20-56D9-4E96-9723-65F13E12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439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68</xdr:row>
      <xdr:rowOff>0</xdr:rowOff>
    </xdr:from>
    <xdr:ext cx="1295400" cy="28575"/>
    <xdr:pic>
      <xdr:nvPicPr>
        <xdr:cNvPr id="39" name="Picture 1">
          <a:extLst>
            <a:ext uri="{FF2B5EF4-FFF2-40B4-BE49-F238E27FC236}">
              <a16:creationId xmlns:a16="http://schemas.microsoft.com/office/drawing/2014/main" id="{D4397EB6-4031-4D88-9DE5-35663D42F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439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68</xdr:row>
      <xdr:rowOff>0</xdr:rowOff>
    </xdr:from>
    <xdr:ext cx="1295400" cy="28575"/>
    <xdr:pic>
      <xdr:nvPicPr>
        <xdr:cNvPr id="40" name="Picture 1">
          <a:extLst>
            <a:ext uri="{FF2B5EF4-FFF2-40B4-BE49-F238E27FC236}">
              <a16:creationId xmlns:a16="http://schemas.microsoft.com/office/drawing/2014/main" id="{C483F40C-7F23-496F-8AA5-C3339F50A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439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69</xdr:row>
      <xdr:rowOff>0</xdr:rowOff>
    </xdr:from>
    <xdr:ext cx="1295400" cy="28575"/>
    <xdr:pic>
      <xdr:nvPicPr>
        <xdr:cNvPr id="41" name="Picture 1">
          <a:extLst>
            <a:ext uri="{FF2B5EF4-FFF2-40B4-BE49-F238E27FC236}">
              <a16:creationId xmlns:a16="http://schemas.microsoft.com/office/drawing/2014/main" id="{4F2204DB-D27F-4A01-B04E-A94B1A0D7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630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69</xdr:row>
      <xdr:rowOff>0</xdr:rowOff>
    </xdr:from>
    <xdr:ext cx="1295400" cy="28575"/>
    <xdr:pic>
      <xdr:nvPicPr>
        <xdr:cNvPr id="42" name="Picture 1">
          <a:extLst>
            <a:ext uri="{FF2B5EF4-FFF2-40B4-BE49-F238E27FC236}">
              <a16:creationId xmlns:a16="http://schemas.microsoft.com/office/drawing/2014/main" id="{9D0F8824-9F91-4C6D-B556-7D1E08D4F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630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69</xdr:row>
      <xdr:rowOff>0</xdr:rowOff>
    </xdr:from>
    <xdr:ext cx="1295400" cy="28575"/>
    <xdr:pic>
      <xdr:nvPicPr>
        <xdr:cNvPr id="43" name="Picture 1">
          <a:extLst>
            <a:ext uri="{FF2B5EF4-FFF2-40B4-BE49-F238E27FC236}">
              <a16:creationId xmlns:a16="http://schemas.microsoft.com/office/drawing/2014/main" id="{64BAFA58-E75F-42E0-8476-F92194F8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630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70</xdr:row>
      <xdr:rowOff>0</xdr:rowOff>
    </xdr:from>
    <xdr:ext cx="1295400" cy="28575"/>
    <xdr:pic>
      <xdr:nvPicPr>
        <xdr:cNvPr id="44" name="Picture 1">
          <a:extLst>
            <a:ext uri="{FF2B5EF4-FFF2-40B4-BE49-F238E27FC236}">
              <a16:creationId xmlns:a16="http://schemas.microsoft.com/office/drawing/2014/main" id="{2D99E05B-FDB1-4836-9B44-46D8D5FE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820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70</xdr:row>
      <xdr:rowOff>0</xdr:rowOff>
    </xdr:from>
    <xdr:ext cx="1295400" cy="28575"/>
    <xdr:pic>
      <xdr:nvPicPr>
        <xdr:cNvPr id="45" name="Picture 1">
          <a:extLst>
            <a:ext uri="{FF2B5EF4-FFF2-40B4-BE49-F238E27FC236}">
              <a16:creationId xmlns:a16="http://schemas.microsoft.com/office/drawing/2014/main" id="{77DE04FE-6238-4F1A-8DD3-BFE851C55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820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70</xdr:row>
      <xdr:rowOff>0</xdr:rowOff>
    </xdr:from>
    <xdr:ext cx="1295400" cy="28575"/>
    <xdr:pic>
      <xdr:nvPicPr>
        <xdr:cNvPr id="46" name="Picture 1">
          <a:extLst>
            <a:ext uri="{FF2B5EF4-FFF2-40B4-BE49-F238E27FC236}">
              <a16:creationId xmlns:a16="http://schemas.microsoft.com/office/drawing/2014/main" id="{638018BF-8E51-4F18-8901-624D5CE8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820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71</xdr:row>
      <xdr:rowOff>0</xdr:rowOff>
    </xdr:from>
    <xdr:ext cx="1295400" cy="28575"/>
    <xdr:pic>
      <xdr:nvPicPr>
        <xdr:cNvPr id="47" name="Picture 1">
          <a:extLst>
            <a:ext uri="{FF2B5EF4-FFF2-40B4-BE49-F238E27FC236}">
              <a16:creationId xmlns:a16="http://schemas.microsoft.com/office/drawing/2014/main" id="{8746320E-DF4F-42BE-9C1E-9A7938007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011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71</xdr:row>
      <xdr:rowOff>0</xdr:rowOff>
    </xdr:from>
    <xdr:ext cx="1295400" cy="28575"/>
    <xdr:pic>
      <xdr:nvPicPr>
        <xdr:cNvPr id="48" name="Picture 1">
          <a:extLst>
            <a:ext uri="{FF2B5EF4-FFF2-40B4-BE49-F238E27FC236}">
              <a16:creationId xmlns:a16="http://schemas.microsoft.com/office/drawing/2014/main" id="{DB11BAB1-6065-4485-9419-D2FC813F5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011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71</xdr:row>
      <xdr:rowOff>0</xdr:rowOff>
    </xdr:from>
    <xdr:ext cx="1295400" cy="28575"/>
    <xdr:pic>
      <xdr:nvPicPr>
        <xdr:cNvPr id="49" name="Picture 1">
          <a:extLst>
            <a:ext uri="{FF2B5EF4-FFF2-40B4-BE49-F238E27FC236}">
              <a16:creationId xmlns:a16="http://schemas.microsoft.com/office/drawing/2014/main" id="{F0A465FB-D3B1-4093-B86D-8F81D519F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011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72</xdr:row>
      <xdr:rowOff>0</xdr:rowOff>
    </xdr:from>
    <xdr:ext cx="1295400" cy="28575"/>
    <xdr:pic>
      <xdr:nvPicPr>
        <xdr:cNvPr id="50" name="Picture 1">
          <a:extLst>
            <a:ext uri="{FF2B5EF4-FFF2-40B4-BE49-F238E27FC236}">
              <a16:creationId xmlns:a16="http://schemas.microsoft.com/office/drawing/2014/main" id="{1AFD4CD4-C756-4E04-9E16-AA839A42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201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72</xdr:row>
      <xdr:rowOff>0</xdr:rowOff>
    </xdr:from>
    <xdr:ext cx="1295400" cy="28575"/>
    <xdr:pic>
      <xdr:nvPicPr>
        <xdr:cNvPr id="51" name="Picture 1">
          <a:extLst>
            <a:ext uri="{FF2B5EF4-FFF2-40B4-BE49-F238E27FC236}">
              <a16:creationId xmlns:a16="http://schemas.microsoft.com/office/drawing/2014/main" id="{5C57CA54-6D81-4374-A287-9AF0DEDA6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201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72</xdr:row>
      <xdr:rowOff>0</xdr:rowOff>
    </xdr:from>
    <xdr:ext cx="1295400" cy="28575"/>
    <xdr:pic>
      <xdr:nvPicPr>
        <xdr:cNvPr id="52" name="Picture 1">
          <a:extLst>
            <a:ext uri="{FF2B5EF4-FFF2-40B4-BE49-F238E27FC236}">
              <a16:creationId xmlns:a16="http://schemas.microsoft.com/office/drawing/2014/main" id="{9F984AAF-9A99-4B14-9D1C-FABD57F41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201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73</xdr:row>
      <xdr:rowOff>0</xdr:rowOff>
    </xdr:from>
    <xdr:ext cx="1295400" cy="28575"/>
    <xdr:pic>
      <xdr:nvPicPr>
        <xdr:cNvPr id="53" name="Picture 1">
          <a:extLst>
            <a:ext uri="{FF2B5EF4-FFF2-40B4-BE49-F238E27FC236}">
              <a16:creationId xmlns:a16="http://schemas.microsoft.com/office/drawing/2014/main" id="{9E040EF2-1447-44B7-B94C-96246F53E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392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73</xdr:row>
      <xdr:rowOff>0</xdr:rowOff>
    </xdr:from>
    <xdr:ext cx="1295400" cy="28575"/>
    <xdr:pic>
      <xdr:nvPicPr>
        <xdr:cNvPr id="54" name="Picture 1">
          <a:extLst>
            <a:ext uri="{FF2B5EF4-FFF2-40B4-BE49-F238E27FC236}">
              <a16:creationId xmlns:a16="http://schemas.microsoft.com/office/drawing/2014/main" id="{1D56016F-B9D5-4ADC-B386-ED058A6B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392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73</xdr:row>
      <xdr:rowOff>0</xdr:rowOff>
    </xdr:from>
    <xdr:ext cx="1295400" cy="28575"/>
    <xdr:pic>
      <xdr:nvPicPr>
        <xdr:cNvPr id="55" name="Picture 1">
          <a:extLst>
            <a:ext uri="{FF2B5EF4-FFF2-40B4-BE49-F238E27FC236}">
              <a16:creationId xmlns:a16="http://schemas.microsoft.com/office/drawing/2014/main" id="{C84DAB7B-C090-423C-AD9E-786BE40B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392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74</xdr:row>
      <xdr:rowOff>0</xdr:rowOff>
    </xdr:from>
    <xdr:ext cx="1295400" cy="28575"/>
    <xdr:pic>
      <xdr:nvPicPr>
        <xdr:cNvPr id="56" name="Picture 1">
          <a:extLst>
            <a:ext uri="{FF2B5EF4-FFF2-40B4-BE49-F238E27FC236}">
              <a16:creationId xmlns:a16="http://schemas.microsoft.com/office/drawing/2014/main" id="{F2D05CB4-22A5-4E4D-94E1-11FF5AF5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58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74</xdr:row>
      <xdr:rowOff>0</xdr:rowOff>
    </xdr:from>
    <xdr:ext cx="1295400" cy="28575"/>
    <xdr:pic>
      <xdr:nvPicPr>
        <xdr:cNvPr id="57" name="Picture 1">
          <a:extLst>
            <a:ext uri="{FF2B5EF4-FFF2-40B4-BE49-F238E27FC236}">
              <a16:creationId xmlns:a16="http://schemas.microsoft.com/office/drawing/2014/main" id="{D2637AF2-E7A6-474C-9C96-C87E8DB4E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58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74</xdr:row>
      <xdr:rowOff>0</xdr:rowOff>
    </xdr:from>
    <xdr:ext cx="1295400" cy="28575"/>
    <xdr:pic>
      <xdr:nvPicPr>
        <xdr:cNvPr id="58" name="Picture 1">
          <a:extLst>
            <a:ext uri="{FF2B5EF4-FFF2-40B4-BE49-F238E27FC236}">
              <a16:creationId xmlns:a16="http://schemas.microsoft.com/office/drawing/2014/main" id="{F015AA98-1248-4774-8DA8-7B800A0B5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58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75</xdr:row>
      <xdr:rowOff>0</xdr:rowOff>
    </xdr:from>
    <xdr:ext cx="1295400" cy="28575"/>
    <xdr:pic>
      <xdr:nvPicPr>
        <xdr:cNvPr id="59" name="Picture 1">
          <a:extLst>
            <a:ext uri="{FF2B5EF4-FFF2-40B4-BE49-F238E27FC236}">
              <a16:creationId xmlns:a16="http://schemas.microsoft.com/office/drawing/2014/main" id="{7B57F53E-7DCD-4EF6-B9B7-4C33A5B9F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773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75</xdr:row>
      <xdr:rowOff>0</xdr:rowOff>
    </xdr:from>
    <xdr:ext cx="1295400" cy="28575"/>
    <xdr:pic>
      <xdr:nvPicPr>
        <xdr:cNvPr id="60" name="Picture 1">
          <a:extLst>
            <a:ext uri="{FF2B5EF4-FFF2-40B4-BE49-F238E27FC236}">
              <a16:creationId xmlns:a16="http://schemas.microsoft.com/office/drawing/2014/main" id="{28627A61-6224-48A1-8457-D90DF67D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773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75</xdr:row>
      <xdr:rowOff>0</xdr:rowOff>
    </xdr:from>
    <xdr:ext cx="1295400" cy="28575"/>
    <xdr:pic>
      <xdr:nvPicPr>
        <xdr:cNvPr id="61" name="Picture 1">
          <a:extLst>
            <a:ext uri="{FF2B5EF4-FFF2-40B4-BE49-F238E27FC236}">
              <a16:creationId xmlns:a16="http://schemas.microsoft.com/office/drawing/2014/main" id="{1D0B84EB-9241-47EB-83C4-B770CB81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773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76</xdr:row>
      <xdr:rowOff>0</xdr:rowOff>
    </xdr:from>
    <xdr:ext cx="1295400" cy="28575"/>
    <xdr:pic>
      <xdr:nvPicPr>
        <xdr:cNvPr id="62" name="Picture 1">
          <a:extLst>
            <a:ext uri="{FF2B5EF4-FFF2-40B4-BE49-F238E27FC236}">
              <a16:creationId xmlns:a16="http://schemas.microsoft.com/office/drawing/2014/main" id="{81AD7DC2-FC57-448F-90A7-74CA3604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96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76</xdr:row>
      <xdr:rowOff>0</xdr:rowOff>
    </xdr:from>
    <xdr:ext cx="1295400" cy="28575"/>
    <xdr:pic>
      <xdr:nvPicPr>
        <xdr:cNvPr id="63" name="Picture 1">
          <a:extLst>
            <a:ext uri="{FF2B5EF4-FFF2-40B4-BE49-F238E27FC236}">
              <a16:creationId xmlns:a16="http://schemas.microsoft.com/office/drawing/2014/main" id="{F9177C26-5844-4072-B908-CB9A2CA2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96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76</xdr:row>
      <xdr:rowOff>0</xdr:rowOff>
    </xdr:from>
    <xdr:ext cx="1295400" cy="28575"/>
    <xdr:pic>
      <xdr:nvPicPr>
        <xdr:cNvPr id="64" name="Picture 1">
          <a:extLst>
            <a:ext uri="{FF2B5EF4-FFF2-40B4-BE49-F238E27FC236}">
              <a16:creationId xmlns:a16="http://schemas.microsoft.com/office/drawing/2014/main" id="{4524159C-B813-40FB-8B73-8C727F5B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96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77</xdr:row>
      <xdr:rowOff>0</xdr:rowOff>
    </xdr:from>
    <xdr:ext cx="1295400" cy="28575"/>
    <xdr:pic>
      <xdr:nvPicPr>
        <xdr:cNvPr id="65" name="Picture 1">
          <a:extLst>
            <a:ext uri="{FF2B5EF4-FFF2-40B4-BE49-F238E27FC236}">
              <a16:creationId xmlns:a16="http://schemas.microsoft.com/office/drawing/2014/main" id="{0008E956-D77C-4C92-AFEA-A61800860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15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77</xdr:row>
      <xdr:rowOff>0</xdr:rowOff>
    </xdr:from>
    <xdr:ext cx="1295400" cy="28575"/>
    <xdr:pic>
      <xdr:nvPicPr>
        <xdr:cNvPr id="66" name="Picture 1">
          <a:extLst>
            <a:ext uri="{FF2B5EF4-FFF2-40B4-BE49-F238E27FC236}">
              <a16:creationId xmlns:a16="http://schemas.microsoft.com/office/drawing/2014/main" id="{7D3A74D9-6ED1-4AD5-A612-0EA7A1114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15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77</xdr:row>
      <xdr:rowOff>0</xdr:rowOff>
    </xdr:from>
    <xdr:ext cx="1295400" cy="28575"/>
    <xdr:pic>
      <xdr:nvPicPr>
        <xdr:cNvPr id="67" name="Picture 1">
          <a:extLst>
            <a:ext uri="{FF2B5EF4-FFF2-40B4-BE49-F238E27FC236}">
              <a16:creationId xmlns:a16="http://schemas.microsoft.com/office/drawing/2014/main" id="{C1075EAF-B9CA-4D7E-957B-3F98C00F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15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78</xdr:row>
      <xdr:rowOff>0</xdr:rowOff>
    </xdr:from>
    <xdr:ext cx="1295400" cy="28575"/>
    <xdr:pic>
      <xdr:nvPicPr>
        <xdr:cNvPr id="68" name="Picture 1">
          <a:extLst>
            <a:ext uri="{FF2B5EF4-FFF2-40B4-BE49-F238E27FC236}">
              <a16:creationId xmlns:a16="http://schemas.microsoft.com/office/drawing/2014/main" id="{5ECFD535-268E-4105-9717-4069DA183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34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78</xdr:row>
      <xdr:rowOff>0</xdr:rowOff>
    </xdr:from>
    <xdr:ext cx="1295400" cy="28575"/>
    <xdr:pic>
      <xdr:nvPicPr>
        <xdr:cNvPr id="69" name="Picture 1">
          <a:extLst>
            <a:ext uri="{FF2B5EF4-FFF2-40B4-BE49-F238E27FC236}">
              <a16:creationId xmlns:a16="http://schemas.microsoft.com/office/drawing/2014/main" id="{AD9949AA-2ED6-4357-8A5D-7F1FCE99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34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78</xdr:row>
      <xdr:rowOff>0</xdr:rowOff>
    </xdr:from>
    <xdr:ext cx="1295400" cy="28575"/>
    <xdr:pic>
      <xdr:nvPicPr>
        <xdr:cNvPr id="70" name="Picture 1">
          <a:extLst>
            <a:ext uri="{FF2B5EF4-FFF2-40B4-BE49-F238E27FC236}">
              <a16:creationId xmlns:a16="http://schemas.microsoft.com/office/drawing/2014/main" id="{5CA94776-BEB1-4A5C-80B3-3DA19AF22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34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79</xdr:row>
      <xdr:rowOff>0</xdr:rowOff>
    </xdr:from>
    <xdr:ext cx="1295400" cy="28575"/>
    <xdr:pic>
      <xdr:nvPicPr>
        <xdr:cNvPr id="71" name="Picture 1">
          <a:extLst>
            <a:ext uri="{FF2B5EF4-FFF2-40B4-BE49-F238E27FC236}">
              <a16:creationId xmlns:a16="http://schemas.microsoft.com/office/drawing/2014/main" id="{19FC161B-E27E-43A8-B733-03966D864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53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79</xdr:row>
      <xdr:rowOff>0</xdr:rowOff>
    </xdr:from>
    <xdr:ext cx="1295400" cy="28575"/>
    <xdr:pic>
      <xdr:nvPicPr>
        <xdr:cNvPr id="72" name="Picture 1">
          <a:extLst>
            <a:ext uri="{FF2B5EF4-FFF2-40B4-BE49-F238E27FC236}">
              <a16:creationId xmlns:a16="http://schemas.microsoft.com/office/drawing/2014/main" id="{0FB681FF-FA24-480B-9DD4-C5BA173AF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53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79</xdr:row>
      <xdr:rowOff>0</xdr:rowOff>
    </xdr:from>
    <xdr:ext cx="1295400" cy="28575"/>
    <xdr:pic>
      <xdr:nvPicPr>
        <xdr:cNvPr id="73" name="Picture 1">
          <a:extLst>
            <a:ext uri="{FF2B5EF4-FFF2-40B4-BE49-F238E27FC236}">
              <a16:creationId xmlns:a16="http://schemas.microsoft.com/office/drawing/2014/main" id="{67369113-C00E-497D-9B4A-AABE1F6A7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53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80</xdr:row>
      <xdr:rowOff>0</xdr:rowOff>
    </xdr:from>
    <xdr:ext cx="1295400" cy="28575"/>
    <xdr:pic>
      <xdr:nvPicPr>
        <xdr:cNvPr id="74" name="Picture 1">
          <a:extLst>
            <a:ext uri="{FF2B5EF4-FFF2-40B4-BE49-F238E27FC236}">
              <a16:creationId xmlns:a16="http://schemas.microsoft.com/office/drawing/2014/main" id="{922B0291-D909-4B81-ADCB-F82B0C10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72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80</xdr:row>
      <xdr:rowOff>0</xdr:rowOff>
    </xdr:from>
    <xdr:ext cx="1295400" cy="28575"/>
    <xdr:pic>
      <xdr:nvPicPr>
        <xdr:cNvPr id="75" name="Picture 1">
          <a:extLst>
            <a:ext uri="{FF2B5EF4-FFF2-40B4-BE49-F238E27FC236}">
              <a16:creationId xmlns:a16="http://schemas.microsoft.com/office/drawing/2014/main" id="{65808FF6-3F67-45A7-B73C-794CBF79F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72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80</xdr:row>
      <xdr:rowOff>0</xdr:rowOff>
    </xdr:from>
    <xdr:ext cx="1295400" cy="28575"/>
    <xdr:pic>
      <xdr:nvPicPr>
        <xdr:cNvPr id="76" name="Picture 1">
          <a:extLst>
            <a:ext uri="{FF2B5EF4-FFF2-40B4-BE49-F238E27FC236}">
              <a16:creationId xmlns:a16="http://schemas.microsoft.com/office/drawing/2014/main" id="{47E9E7BD-CD1F-4E6A-82C2-B23243E4D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72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81</xdr:row>
      <xdr:rowOff>0</xdr:rowOff>
    </xdr:from>
    <xdr:ext cx="1295400" cy="28575"/>
    <xdr:pic>
      <xdr:nvPicPr>
        <xdr:cNvPr id="77" name="Picture 1">
          <a:extLst>
            <a:ext uri="{FF2B5EF4-FFF2-40B4-BE49-F238E27FC236}">
              <a16:creationId xmlns:a16="http://schemas.microsoft.com/office/drawing/2014/main" id="{33F79E75-F89C-4A4A-953B-13AD2FE9F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1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81</xdr:row>
      <xdr:rowOff>0</xdr:rowOff>
    </xdr:from>
    <xdr:ext cx="1295400" cy="28575"/>
    <xdr:pic>
      <xdr:nvPicPr>
        <xdr:cNvPr id="78" name="Picture 1">
          <a:extLst>
            <a:ext uri="{FF2B5EF4-FFF2-40B4-BE49-F238E27FC236}">
              <a16:creationId xmlns:a16="http://schemas.microsoft.com/office/drawing/2014/main" id="{22A4DA8C-921E-4387-A3C0-85D55C822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1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81</xdr:row>
      <xdr:rowOff>0</xdr:rowOff>
    </xdr:from>
    <xdr:ext cx="1295400" cy="28575"/>
    <xdr:pic>
      <xdr:nvPicPr>
        <xdr:cNvPr id="79" name="Picture 1">
          <a:extLst>
            <a:ext uri="{FF2B5EF4-FFF2-40B4-BE49-F238E27FC236}">
              <a16:creationId xmlns:a16="http://schemas.microsoft.com/office/drawing/2014/main" id="{8E2CF35E-9F53-4D40-A2EF-3C5C50758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1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82</xdr:row>
      <xdr:rowOff>0</xdr:rowOff>
    </xdr:from>
    <xdr:ext cx="1295400" cy="28575"/>
    <xdr:pic>
      <xdr:nvPicPr>
        <xdr:cNvPr id="80" name="Picture 1">
          <a:extLst>
            <a:ext uri="{FF2B5EF4-FFF2-40B4-BE49-F238E27FC236}">
              <a16:creationId xmlns:a16="http://schemas.microsoft.com/office/drawing/2014/main" id="{F5C4411D-31CA-4755-82B2-50C92D38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10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82</xdr:row>
      <xdr:rowOff>0</xdr:rowOff>
    </xdr:from>
    <xdr:ext cx="1295400" cy="28575"/>
    <xdr:pic>
      <xdr:nvPicPr>
        <xdr:cNvPr id="81" name="Picture 1">
          <a:extLst>
            <a:ext uri="{FF2B5EF4-FFF2-40B4-BE49-F238E27FC236}">
              <a16:creationId xmlns:a16="http://schemas.microsoft.com/office/drawing/2014/main" id="{E243B770-1A8F-475D-A8E5-F23F850E5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10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82</xdr:row>
      <xdr:rowOff>0</xdr:rowOff>
    </xdr:from>
    <xdr:ext cx="1295400" cy="28575"/>
    <xdr:pic>
      <xdr:nvPicPr>
        <xdr:cNvPr id="82" name="Picture 1">
          <a:extLst>
            <a:ext uri="{FF2B5EF4-FFF2-40B4-BE49-F238E27FC236}">
              <a16:creationId xmlns:a16="http://schemas.microsoft.com/office/drawing/2014/main" id="{873D9F60-B70E-4AEF-A7B9-A9F937BB3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10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83</xdr:row>
      <xdr:rowOff>0</xdr:rowOff>
    </xdr:from>
    <xdr:ext cx="1295400" cy="28575"/>
    <xdr:pic>
      <xdr:nvPicPr>
        <xdr:cNvPr id="83" name="Picture 1">
          <a:extLst>
            <a:ext uri="{FF2B5EF4-FFF2-40B4-BE49-F238E27FC236}">
              <a16:creationId xmlns:a16="http://schemas.microsoft.com/office/drawing/2014/main" id="{1A736716-7DC4-4C00-8D8F-CA136CC6D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29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83</xdr:row>
      <xdr:rowOff>0</xdr:rowOff>
    </xdr:from>
    <xdr:ext cx="1295400" cy="28575"/>
    <xdr:pic>
      <xdr:nvPicPr>
        <xdr:cNvPr id="84" name="Picture 1">
          <a:extLst>
            <a:ext uri="{FF2B5EF4-FFF2-40B4-BE49-F238E27FC236}">
              <a16:creationId xmlns:a16="http://schemas.microsoft.com/office/drawing/2014/main" id="{CC03F8DB-627C-4A5D-B3BD-C95EFEADB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29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83</xdr:row>
      <xdr:rowOff>0</xdr:rowOff>
    </xdr:from>
    <xdr:ext cx="1295400" cy="28575"/>
    <xdr:pic>
      <xdr:nvPicPr>
        <xdr:cNvPr id="85" name="Picture 1">
          <a:extLst>
            <a:ext uri="{FF2B5EF4-FFF2-40B4-BE49-F238E27FC236}">
              <a16:creationId xmlns:a16="http://schemas.microsoft.com/office/drawing/2014/main" id="{10458E34-457B-4D64-9C33-CA700B3C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29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85</xdr:row>
      <xdr:rowOff>0</xdr:rowOff>
    </xdr:from>
    <xdr:ext cx="1295400" cy="28575"/>
    <xdr:pic>
      <xdr:nvPicPr>
        <xdr:cNvPr id="86" name="Picture 1">
          <a:extLst>
            <a:ext uri="{FF2B5EF4-FFF2-40B4-BE49-F238E27FC236}">
              <a16:creationId xmlns:a16="http://schemas.microsoft.com/office/drawing/2014/main" id="{676033C1-49C3-4463-B473-112FAA50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67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85</xdr:row>
      <xdr:rowOff>0</xdr:rowOff>
    </xdr:from>
    <xdr:ext cx="1295400" cy="28575"/>
    <xdr:pic>
      <xdr:nvPicPr>
        <xdr:cNvPr id="87" name="Picture 1">
          <a:extLst>
            <a:ext uri="{FF2B5EF4-FFF2-40B4-BE49-F238E27FC236}">
              <a16:creationId xmlns:a16="http://schemas.microsoft.com/office/drawing/2014/main" id="{90EF5BE5-74DB-4BAE-8782-4FEB7E141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67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85</xdr:row>
      <xdr:rowOff>0</xdr:rowOff>
    </xdr:from>
    <xdr:ext cx="1295400" cy="28575"/>
    <xdr:pic>
      <xdr:nvPicPr>
        <xdr:cNvPr id="88" name="Picture 1">
          <a:extLst>
            <a:ext uri="{FF2B5EF4-FFF2-40B4-BE49-F238E27FC236}">
              <a16:creationId xmlns:a16="http://schemas.microsoft.com/office/drawing/2014/main" id="{89CA85BB-7B8A-4C3A-B052-FD526F29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67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86</xdr:row>
      <xdr:rowOff>0</xdr:rowOff>
    </xdr:from>
    <xdr:ext cx="1295400" cy="28575"/>
    <xdr:pic>
      <xdr:nvPicPr>
        <xdr:cNvPr id="89" name="Picture 1">
          <a:extLst>
            <a:ext uri="{FF2B5EF4-FFF2-40B4-BE49-F238E27FC236}">
              <a16:creationId xmlns:a16="http://schemas.microsoft.com/office/drawing/2014/main" id="{AE387AF1-0CB5-4324-A10C-F8E62DA1A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86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86</xdr:row>
      <xdr:rowOff>0</xdr:rowOff>
    </xdr:from>
    <xdr:ext cx="1295400" cy="28575"/>
    <xdr:pic>
      <xdr:nvPicPr>
        <xdr:cNvPr id="90" name="Picture 1">
          <a:extLst>
            <a:ext uri="{FF2B5EF4-FFF2-40B4-BE49-F238E27FC236}">
              <a16:creationId xmlns:a16="http://schemas.microsoft.com/office/drawing/2014/main" id="{D1322D99-1C9F-431A-A306-58E1F7EA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86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86</xdr:row>
      <xdr:rowOff>0</xdr:rowOff>
    </xdr:from>
    <xdr:ext cx="1295400" cy="28575"/>
    <xdr:pic>
      <xdr:nvPicPr>
        <xdr:cNvPr id="91" name="Picture 1">
          <a:extLst>
            <a:ext uri="{FF2B5EF4-FFF2-40B4-BE49-F238E27FC236}">
              <a16:creationId xmlns:a16="http://schemas.microsoft.com/office/drawing/2014/main" id="{CDDDA6F0-8508-4B8D-AA88-0F403C22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86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96</xdr:row>
      <xdr:rowOff>0</xdr:rowOff>
    </xdr:from>
    <xdr:ext cx="1295400" cy="28575"/>
    <xdr:pic>
      <xdr:nvPicPr>
        <xdr:cNvPr id="92" name="Picture 1">
          <a:extLst>
            <a:ext uri="{FF2B5EF4-FFF2-40B4-BE49-F238E27FC236}">
              <a16:creationId xmlns:a16="http://schemas.microsoft.com/office/drawing/2014/main" id="{52288B54-8CC7-4587-8433-FF744DF48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8983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96</xdr:row>
      <xdr:rowOff>0</xdr:rowOff>
    </xdr:from>
    <xdr:ext cx="1295400" cy="28575"/>
    <xdr:pic>
      <xdr:nvPicPr>
        <xdr:cNvPr id="93" name="Picture 1">
          <a:extLst>
            <a:ext uri="{FF2B5EF4-FFF2-40B4-BE49-F238E27FC236}">
              <a16:creationId xmlns:a16="http://schemas.microsoft.com/office/drawing/2014/main" id="{7956D3D8-555E-49A7-BA79-59517BEB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8983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96</xdr:row>
      <xdr:rowOff>0</xdr:rowOff>
    </xdr:from>
    <xdr:ext cx="1295400" cy="28575"/>
    <xdr:pic>
      <xdr:nvPicPr>
        <xdr:cNvPr id="94" name="Picture 1">
          <a:extLst>
            <a:ext uri="{FF2B5EF4-FFF2-40B4-BE49-F238E27FC236}">
              <a16:creationId xmlns:a16="http://schemas.microsoft.com/office/drawing/2014/main" id="{58219A71-87DD-4C67-8300-C9E746F40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8983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97</xdr:row>
      <xdr:rowOff>0</xdr:rowOff>
    </xdr:from>
    <xdr:ext cx="1295400" cy="28575"/>
    <xdr:pic>
      <xdr:nvPicPr>
        <xdr:cNvPr id="95" name="Picture 1">
          <a:extLst>
            <a:ext uri="{FF2B5EF4-FFF2-40B4-BE49-F238E27FC236}">
              <a16:creationId xmlns:a16="http://schemas.microsoft.com/office/drawing/2014/main" id="{212E6901-9075-41EB-A9F7-8CB476A34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269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97</xdr:row>
      <xdr:rowOff>0</xdr:rowOff>
    </xdr:from>
    <xdr:ext cx="1295400" cy="28575"/>
    <xdr:pic>
      <xdr:nvPicPr>
        <xdr:cNvPr id="96" name="Picture 1">
          <a:extLst>
            <a:ext uri="{FF2B5EF4-FFF2-40B4-BE49-F238E27FC236}">
              <a16:creationId xmlns:a16="http://schemas.microsoft.com/office/drawing/2014/main" id="{10FB0463-882E-4BE1-B2A1-0FA014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269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97</xdr:row>
      <xdr:rowOff>0</xdr:rowOff>
    </xdr:from>
    <xdr:ext cx="1295400" cy="28575"/>
    <xdr:pic>
      <xdr:nvPicPr>
        <xdr:cNvPr id="97" name="Picture 1">
          <a:extLst>
            <a:ext uri="{FF2B5EF4-FFF2-40B4-BE49-F238E27FC236}">
              <a16:creationId xmlns:a16="http://schemas.microsoft.com/office/drawing/2014/main" id="{6C610302-E184-4DF4-87A2-EA6ED4B5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269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98</xdr:row>
      <xdr:rowOff>0</xdr:rowOff>
    </xdr:from>
    <xdr:ext cx="1295400" cy="28575"/>
    <xdr:pic>
      <xdr:nvPicPr>
        <xdr:cNvPr id="98" name="Picture 1">
          <a:extLst>
            <a:ext uri="{FF2B5EF4-FFF2-40B4-BE49-F238E27FC236}">
              <a16:creationId xmlns:a16="http://schemas.microsoft.com/office/drawing/2014/main" id="{650FCC5E-B5C1-46E7-B902-52D73C81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459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98</xdr:row>
      <xdr:rowOff>0</xdr:rowOff>
    </xdr:from>
    <xdr:ext cx="1295400" cy="28575"/>
    <xdr:pic>
      <xdr:nvPicPr>
        <xdr:cNvPr id="99" name="Picture 1">
          <a:extLst>
            <a:ext uri="{FF2B5EF4-FFF2-40B4-BE49-F238E27FC236}">
              <a16:creationId xmlns:a16="http://schemas.microsoft.com/office/drawing/2014/main" id="{950FC396-0169-4AE9-B0BD-F7B050562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459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98</xdr:row>
      <xdr:rowOff>0</xdr:rowOff>
    </xdr:from>
    <xdr:ext cx="1295400" cy="28575"/>
    <xdr:pic>
      <xdr:nvPicPr>
        <xdr:cNvPr id="100" name="Picture 1">
          <a:extLst>
            <a:ext uri="{FF2B5EF4-FFF2-40B4-BE49-F238E27FC236}">
              <a16:creationId xmlns:a16="http://schemas.microsoft.com/office/drawing/2014/main" id="{AD253B7E-0FA3-4A10-9887-BD2E0A45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459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99</xdr:row>
      <xdr:rowOff>0</xdr:rowOff>
    </xdr:from>
    <xdr:ext cx="1295400" cy="28575"/>
    <xdr:pic>
      <xdr:nvPicPr>
        <xdr:cNvPr id="101" name="Picture 1">
          <a:extLst>
            <a:ext uri="{FF2B5EF4-FFF2-40B4-BE49-F238E27FC236}">
              <a16:creationId xmlns:a16="http://schemas.microsoft.com/office/drawing/2014/main" id="{27E8DC45-A80C-4694-9E5D-BB704B0A9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650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99</xdr:row>
      <xdr:rowOff>0</xdr:rowOff>
    </xdr:from>
    <xdr:ext cx="1295400" cy="28575"/>
    <xdr:pic>
      <xdr:nvPicPr>
        <xdr:cNvPr id="102" name="Picture 1">
          <a:extLst>
            <a:ext uri="{FF2B5EF4-FFF2-40B4-BE49-F238E27FC236}">
              <a16:creationId xmlns:a16="http://schemas.microsoft.com/office/drawing/2014/main" id="{EA0C5EA1-4E52-4223-84E6-C3CEF2221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650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99</xdr:row>
      <xdr:rowOff>0</xdr:rowOff>
    </xdr:from>
    <xdr:ext cx="1295400" cy="28575"/>
    <xdr:pic>
      <xdr:nvPicPr>
        <xdr:cNvPr id="103" name="Picture 1">
          <a:extLst>
            <a:ext uri="{FF2B5EF4-FFF2-40B4-BE49-F238E27FC236}">
              <a16:creationId xmlns:a16="http://schemas.microsoft.com/office/drawing/2014/main" id="{DB9A924F-223D-4598-A303-4B108C1F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650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100</xdr:row>
      <xdr:rowOff>0</xdr:rowOff>
    </xdr:from>
    <xdr:ext cx="1295400" cy="28575"/>
    <xdr:pic>
      <xdr:nvPicPr>
        <xdr:cNvPr id="104" name="Picture 1">
          <a:extLst>
            <a:ext uri="{FF2B5EF4-FFF2-40B4-BE49-F238E27FC236}">
              <a16:creationId xmlns:a16="http://schemas.microsoft.com/office/drawing/2014/main" id="{5329E25D-22F1-41BE-B44D-7EB43BE6F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840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100</xdr:row>
      <xdr:rowOff>0</xdr:rowOff>
    </xdr:from>
    <xdr:ext cx="1295400" cy="28575"/>
    <xdr:pic>
      <xdr:nvPicPr>
        <xdr:cNvPr id="105" name="Picture 1">
          <a:extLst>
            <a:ext uri="{FF2B5EF4-FFF2-40B4-BE49-F238E27FC236}">
              <a16:creationId xmlns:a16="http://schemas.microsoft.com/office/drawing/2014/main" id="{AE23D7FE-A008-429D-994D-427B6B1E4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840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100</xdr:row>
      <xdr:rowOff>0</xdr:rowOff>
    </xdr:from>
    <xdr:ext cx="1295400" cy="28575"/>
    <xdr:pic>
      <xdr:nvPicPr>
        <xdr:cNvPr id="106" name="Picture 1">
          <a:extLst>
            <a:ext uri="{FF2B5EF4-FFF2-40B4-BE49-F238E27FC236}">
              <a16:creationId xmlns:a16="http://schemas.microsoft.com/office/drawing/2014/main" id="{953D00E5-0A3B-4A3F-9268-982FBBA85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840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101</xdr:row>
      <xdr:rowOff>0</xdr:rowOff>
    </xdr:from>
    <xdr:ext cx="1295400" cy="28575"/>
    <xdr:pic>
      <xdr:nvPicPr>
        <xdr:cNvPr id="107" name="Picture 1">
          <a:extLst>
            <a:ext uri="{FF2B5EF4-FFF2-40B4-BE49-F238E27FC236}">
              <a16:creationId xmlns:a16="http://schemas.microsoft.com/office/drawing/2014/main" id="{4326F563-E5B0-4F9E-9D83-66A59CD0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20031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101</xdr:row>
      <xdr:rowOff>0</xdr:rowOff>
    </xdr:from>
    <xdr:ext cx="1295400" cy="28575"/>
    <xdr:pic>
      <xdr:nvPicPr>
        <xdr:cNvPr id="108" name="Picture 1">
          <a:extLst>
            <a:ext uri="{FF2B5EF4-FFF2-40B4-BE49-F238E27FC236}">
              <a16:creationId xmlns:a16="http://schemas.microsoft.com/office/drawing/2014/main" id="{BE360A3A-FB47-4BC6-85F8-B0606B0AB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20031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101</xdr:row>
      <xdr:rowOff>0</xdr:rowOff>
    </xdr:from>
    <xdr:ext cx="1295400" cy="28575"/>
    <xdr:pic>
      <xdr:nvPicPr>
        <xdr:cNvPr id="109" name="Picture 1">
          <a:extLst>
            <a:ext uri="{FF2B5EF4-FFF2-40B4-BE49-F238E27FC236}">
              <a16:creationId xmlns:a16="http://schemas.microsoft.com/office/drawing/2014/main" id="{4D6A39DA-258F-4861-9D7F-B99467C8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20031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97</xdr:row>
      <xdr:rowOff>0</xdr:rowOff>
    </xdr:from>
    <xdr:ext cx="1295400" cy="28575"/>
    <xdr:pic>
      <xdr:nvPicPr>
        <xdr:cNvPr id="110" name="Picture 1">
          <a:extLst>
            <a:ext uri="{FF2B5EF4-FFF2-40B4-BE49-F238E27FC236}">
              <a16:creationId xmlns:a16="http://schemas.microsoft.com/office/drawing/2014/main" id="{4E1BC93C-F9CC-4BC6-8CAA-D2011C811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269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97</xdr:row>
      <xdr:rowOff>0</xdr:rowOff>
    </xdr:from>
    <xdr:ext cx="1295400" cy="28575"/>
    <xdr:pic>
      <xdr:nvPicPr>
        <xdr:cNvPr id="111" name="Picture 1">
          <a:extLst>
            <a:ext uri="{FF2B5EF4-FFF2-40B4-BE49-F238E27FC236}">
              <a16:creationId xmlns:a16="http://schemas.microsoft.com/office/drawing/2014/main" id="{F3CBE32C-47DA-4E31-BA92-46389486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269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97</xdr:row>
      <xdr:rowOff>0</xdr:rowOff>
    </xdr:from>
    <xdr:ext cx="1295400" cy="28575"/>
    <xdr:pic>
      <xdr:nvPicPr>
        <xdr:cNvPr id="112" name="Picture 1">
          <a:extLst>
            <a:ext uri="{FF2B5EF4-FFF2-40B4-BE49-F238E27FC236}">
              <a16:creationId xmlns:a16="http://schemas.microsoft.com/office/drawing/2014/main" id="{4ECC58AC-A21E-47C6-A596-0488831C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269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98</xdr:row>
      <xdr:rowOff>0</xdr:rowOff>
    </xdr:from>
    <xdr:ext cx="1295400" cy="28575"/>
    <xdr:pic>
      <xdr:nvPicPr>
        <xdr:cNvPr id="113" name="Picture 1">
          <a:extLst>
            <a:ext uri="{FF2B5EF4-FFF2-40B4-BE49-F238E27FC236}">
              <a16:creationId xmlns:a16="http://schemas.microsoft.com/office/drawing/2014/main" id="{448B2C39-3239-4642-BF2C-1ACFA150B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459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99</xdr:row>
      <xdr:rowOff>0</xdr:rowOff>
    </xdr:from>
    <xdr:ext cx="1295400" cy="28575"/>
    <xdr:pic>
      <xdr:nvPicPr>
        <xdr:cNvPr id="114" name="Picture 1">
          <a:extLst>
            <a:ext uri="{FF2B5EF4-FFF2-40B4-BE49-F238E27FC236}">
              <a16:creationId xmlns:a16="http://schemas.microsoft.com/office/drawing/2014/main" id="{306B81F6-2E42-438B-9094-EC54811E7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650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99</xdr:row>
      <xdr:rowOff>0</xdr:rowOff>
    </xdr:from>
    <xdr:ext cx="1295400" cy="28575"/>
    <xdr:pic>
      <xdr:nvPicPr>
        <xdr:cNvPr id="115" name="Picture 1">
          <a:extLst>
            <a:ext uri="{FF2B5EF4-FFF2-40B4-BE49-F238E27FC236}">
              <a16:creationId xmlns:a16="http://schemas.microsoft.com/office/drawing/2014/main" id="{E5BBC43E-7108-4B03-92BC-EFBCE85DD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650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99</xdr:row>
      <xdr:rowOff>0</xdr:rowOff>
    </xdr:from>
    <xdr:ext cx="1295400" cy="28575"/>
    <xdr:pic>
      <xdr:nvPicPr>
        <xdr:cNvPr id="116" name="Picture 1">
          <a:extLst>
            <a:ext uri="{FF2B5EF4-FFF2-40B4-BE49-F238E27FC236}">
              <a16:creationId xmlns:a16="http://schemas.microsoft.com/office/drawing/2014/main" id="{AD770161-E772-4DCE-881A-0E96B4A94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650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100</xdr:row>
      <xdr:rowOff>0</xdr:rowOff>
    </xdr:from>
    <xdr:ext cx="1295400" cy="28575"/>
    <xdr:pic>
      <xdr:nvPicPr>
        <xdr:cNvPr id="117" name="Picture 1">
          <a:extLst>
            <a:ext uri="{FF2B5EF4-FFF2-40B4-BE49-F238E27FC236}">
              <a16:creationId xmlns:a16="http://schemas.microsoft.com/office/drawing/2014/main" id="{0EFB9FF4-B457-489F-8093-4B344423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840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100</xdr:row>
      <xdr:rowOff>0</xdr:rowOff>
    </xdr:from>
    <xdr:ext cx="1295400" cy="28575"/>
    <xdr:pic>
      <xdr:nvPicPr>
        <xdr:cNvPr id="118" name="Picture 1">
          <a:extLst>
            <a:ext uri="{FF2B5EF4-FFF2-40B4-BE49-F238E27FC236}">
              <a16:creationId xmlns:a16="http://schemas.microsoft.com/office/drawing/2014/main" id="{AC0A5A53-1E3A-4281-BD95-E3CD2ED2F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840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100</xdr:row>
      <xdr:rowOff>0</xdr:rowOff>
    </xdr:from>
    <xdr:ext cx="1295400" cy="28575"/>
    <xdr:pic>
      <xdr:nvPicPr>
        <xdr:cNvPr id="119" name="Picture 1">
          <a:extLst>
            <a:ext uri="{FF2B5EF4-FFF2-40B4-BE49-F238E27FC236}">
              <a16:creationId xmlns:a16="http://schemas.microsoft.com/office/drawing/2014/main" id="{DD3AF035-CFBE-40E9-B006-1F792E522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98405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101</xdr:row>
      <xdr:rowOff>0</xdr:rowOff>
    </xdr:from>
    <xdr:ext cx="1295400" cy="28575"/>
    <xdr:pic>
      <xdr:nvPicPr>
        <xdr:cNvPr id="120" name="Picture 1">
          <a:extLst>
            <a:ext uri="{FF2B5EF4-FFF2-40B4-BE49-F238E27FC236}">
              <a16:creationId xmlns:a16="http://schemas.microsoft.com/office/drawing/2014/main" id="{D78E097D-270B-4CC3-8111-961D6C41E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20031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101</xdr:row>
      <xdr:rowOff>0</xdr:rowOff>
    </xdr:from>
    <xdr:ext cx="1295400" cy="28575"/>
    <xdr:pic>
      <xdr:nvPicPr>
        <xdr:cNvPr id="121" name="Picture 1">
          <a:extLst>
            <a:ext uri="{FF2B5EF4-FFF2-40B4-BE49-F238E27FC236}">
              <a16:creationId xmlns:a16="http://schemas.microsoft.com/office/drawing/2014/main" id="{2A462E34-A552-4A4F-9D66-835693F16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20031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101</xdr:row>
      <xdr:rowOff>0</xdr:rowOff>
    </xdr:from>
    <xdr:ext cx="1295400" cy="28575"/>
    <xdr:pic>
      <xdr:nvPicPr>
        <xdr:cNvPr id="122" name="Picture 1">
          <a:extLst>
            <a:ext uri="{FF2B5EF4-FFF2-40B4-BE49-F238E27FC236}">
              <a16:creationId xmlns:a16="http://schemas.microsoft.com/office/drawing/2014/main" id="{21ACA0EC-8275-489D-A0D9-ECEE3E77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200310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124" name="Picture 1">
          <a:extLst>
            <a:ext uri="{FF2B5EF4-FFF2-40B4-BE49-F238E27FC236}">
              <a16:creationId xmlns:a16="http://schemas.microsoft.com/office/drawing/2014/main" id="{B03503BA-C9EB-4706-BCF7-2E1A7838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125" name="Picture 1">
          <a:extLst>
            <a:ext uri="{FF2B5EF4-FFF2-40B4-BE49-F238E27FC236}">
              <a16:creationId xmlns:a16="http://schemas.microsoft.com/office/drawing/2014/main" id="{1AD30F7E-0EA1-4E31-9414-EBB59E305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126" name="Picture 1">
          <a:extLst>
            <a:ext uri="{FF2B5EF4-FFF2-40B4-BE49-F238E27FC236}">
              <a16:creationId xmlns:a16="http://schemas.microsoft.com/office/drawing/2014/main" id="{81A0FD86-4A0F-480A-963D-AE19E377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45</xdr:row>
      <xdr:rowOff>0</xdr:rowOff>
    </xdr:from>
    <xdr:ext cx="1295400" cy="28575"/>
    <xdr:pic>
      <xdr:nvPicPr>
        <xdr:cNvPr id="127" name="Picture 1">
          <a:extLst>
            <a:ext uri="{FF2B5EF4-FFF2-40B4-BE49-F238E27FC236}">
              <a16:creationId xmlns:a16="http://schemas.microsoft.com/office/drawing/2014/main" id="{A7B618FF-334D-43A8-A0A0-BBA67C0CF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077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45</xdr:row>
      <xdr:rowOff>0</xdr:rowOff>
    </xdr:from>
    <xdr:ext cx="1295400" cy="28575"/>
    <xdr:pic>
      <xdr:nvPicPr>
        <xdr:cNvPr id="128" name="Picture 1">
          <a:extLst>
            <a:ext uri="{FF2B5EF4-FFF2-40B4-BE49-F238E27FC236}">
              <a16:creationId xmlns:a16="http://schemas.microsoft.com/office/drawing/2014/main" id="{3628030C-9D4E-4FBC-89C0-57E6E4E5E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077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46</xdr:row>
      <xdr:rowOff>0</xdr:rowOff>
    </xdr:from>
    <xdr:ext cx="1295400" cy="28575"/>
    <xdr:pic>
      <xdr:nvPicPr>
        <xdr:cNvPr id="129" name="Picture 1">
          <a:extLst>
            <a:ext uri="{FF2B5EF4-FFF2-40B4-BE49-F238E27FC236}">
              <a16:creationId xmlns:a16="http://schemas.microsoft.com/office/drawing/2014/main" id="{B92B0C0C-2B8A-438C-87A8-82FBF5A5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267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46</xdr:row>
      <xdr:rowOff>0</xdr:rowOff>
    </xdr:from>
    <xdr:ext cx="1295400" cy="28575"/>
    <xdr:pic>
      <xdr:nvPicPr>
        <xdr:cNvPr id="130" name="Picture 1">
          <a:extLst>
            <a:ext uri="{FF2B5EF4-FFF2-40B4-BE49-F238E27FC236}">
              <a16:creationId xmlns:a16="http://schemas.microsoft.com/office/drawing/2014/main" id="{0551AEB2-9CAE-42E6-B2F3-53386D5C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267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46</xdr:row>
      <xdr:rowOff>0</xdr:rowOff>
    </xdr:from>
    <xdr:ext cx="1295400" cy="28575"/>
    <xdr:pic>
      <xdr:nvPicPr>
        <xdr:cNvPr id="131" name="Picture 1">
          <a:extLst>
            <a:ext uri="{FF2B5EF4-FFF2-40B4-BE49-F238E27FC236}">
              <a16:creationId xmlns:a16="http://schemas.microsoft.com/office/drawing/2014/main" id="{A26053F8-5D68-4708-BB48-46FD884CE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267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47</xdr:row>
      <xdr:rowOff>0</xdr:rowOff>
    </xdr:from>
    <xdr:ext cx="1295400" cy="28575"/>
    <xdr:pic>
      <xdr:nvPicPr>
        <xdr:cNvPr id="132" name="Picture 1">
          <a:extLst>
            <a:ext uri="{FF2B5EF4-FFF2-40B4-BE49-F238E27FC236}">
              <a16:creationId xmlns:a16="http://schemas.microsoft.com/office/drawing/2014/main" id="{0418C5A8-53E2-4474-A5B1-9B76708F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458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49</xdr:row>
      <xdr:rowOff>0</xdr:rowOff>
    </xdr:from>
    <xdr:ext cx="1295400" cy="28575"/>
    <xdr:pic>
      <xdr:nvPicPr>
        <xdr:cNvPr id="133" name="Picture 1">
          <a:extLst>
            <a:ext uri="{FF2B5EF4-FFF2-40B4-BE49-F238E27FC236}">
              <a16:creationId xmlns:a16="http://schemas.microsoft.com/office/drawing/2014/main" id="{A792ECEE-EE7A-4F17-AD20-3FDB542D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839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49</xdr:row>
      <xdr:rowOff>0</xdr:rowOff>
    </xdr:from>
    <xdr:ext cx="1295400" cy="28575"/>
    <xdr:pic>
      <xdr:nvPicPr>
        <xdr:cNvPr id="134" name="Picture 1">
          <a:extLst>
            <a:ext uri="{FF2B5EF4-FFF2-40B4-BE49-F238E27FC236}">
              <a16:creationId xmlns:a16="http://schemas.microsoft.com/office/drawing/2014/main" id="{FBFEF44F-AB7F-4F2F-812B-ADE392258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839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49</xdr:row>
      <xdr:rowOff>0</xdr:rowOff>
    </xdr:from>
    <xdr:ext cx="1295400" cy="28575"/>
    <xdr:pic>
      <xdr:nvPicPr>
        <xdr:cNvPr id="135" name="Picture 1">
          <a:extLst>
            <a:ext uri="{FF2B5EF4-FFF2-40B4-BE49-F238E27FC236}">
              <a16:creationId xmlns:a16="http://schemas.microsoft.com/office/drawing/2014/main" id="{B8B703BE-A360-4AA6-9648-BC23DAE3C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9839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50</xdr:row>
      <xdr:rowOff>0</xdr:rowOff>
    </xdr:from>
    <xdr:ext cx="1295400" cy="28575"/>
    <xdr:pic>
      <xdr:nvPicPr>
        <xdr:cNvPr id="136" name="Picture 1">
          <a:extLst>
            <a:ext uri="{FF2B5EF4-FFF2-40B4-BE49-F238E27FC236}">
              <a16:creationId xmlns:a16="http://schemas.microsoft.com/office/drawing/2014/main" id="{C967ABB1-FD85-47D4-8E17-12C8EB6D2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029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50</xdr:row>
      <xdr:rowOff>0</xdr:rowOff>
    </xdr:from>
    <xdr:ext cx="1295400" cy="28575"/>
    <xdr:pic>
      <xdr:nvPicPr>
        <xdr:cNvPr id="137" name="Picture 1">
          <a:extLst>
            <a:ext uri="{FF2B5EF4-FFF2-40B4-BE49-F238E27FC236}">
              <a16:creationId xmlns:a16="http://schemas.microsoft.com/office/drawing/2014/main" id="{55AE78C5-C0C9-4AD6-B354-4D957446A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029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51</xdr:row>
      <xdr:rowOff>0</xdr:rowOff>
    </xdr:from>
    <xdr:ext cx="1295400" cy="28575"/>
    <xdr:pic>
      <xdr:nvPicPr>
        <xdr:cNvPr id="138" name="Picture 1">
          <a:extLst>
            <a:ext uri="{FF2B5EF4-FFF2-40B4-BE49-F238E27FC236}">
              <a16:creationId xmlns:a16="http://schemas.microsoft.com/office/drawing/2014/main" id="{22B69C5A-23F5-44E7-9A01-34872562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220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51</xdr:row>
      <xdr:rowOff>0</xdr:rowOff>
    </xdr:from>
    <xdr:ext cx="1295400" cy="28575"/>
    <xdr:pic>
      <xdr:nvPicPr>
        <xdr:cNvPr id="139" name="Picture 1">
          <a:extLst>
            <a:ext uri="{FF2B5EF4-FFF2-40B4-BE49-F238E27FC236}">
              <a16:creationId xmlns:a16="http://schemas.microsoft.com/office/drawing/2014/main" id="{21DBD230-490F-48D5-BF28-B1FECC2F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220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51</xdr:row>
      <xdr:rowOff>0</xdr:rowOff>
    </xdr:from>
    <xdr:ext cx="1295400" cy="28575"/>
    <xdr:pic>
      <xdr:nvPicPr>
        <xdr:cNvPr id="140" name="Picture 1">
          <a:extLst>
            <a:ext uri="{FF2B5EF4-FFF2-40B4-BE49-F238E27FC236}">
              <a16:creationId xmlns:a16="http://schemas.microsoft.com/office/drawing/2014/main" id="{537D4A4F-0490-429B-9EC0-35859669A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2203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52</xdr:row>
      <xdr:rowOff>0</xdr:rowOff>
    </xdr:from>
    <xdr:ext cx="1295400" cy="28575"/>
    <xdr:pic>
      <xdr:nvPicPr>
        <xdr:cNvPr id="141" name="Picture 1">
          <a:extLst>
            <a:ext uri="{FF2B5EF4-FFF2-40B4-BE49-F238E27FC236}">
              <a16:creationId xmlns:a16="http://schemas.microsoft.com/office/drawing/2014/main" id="{9368E7DA-A777-44C5-8EE2-2486656A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410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52</xdr:row>
      <xdr:rowOff>0</xdr:rowOff>
    </xdr:from>
    <xdr:ext cx="1295400" cy="28575"/>
    <xdr:pic>
      <xdr:nvPicPr>
        <xdr:cNvPr id="142" name="Picture 1">
          <a:extLst>
            <a:ext uri="{FF2B5EF4-FFF2-40B4-BE49-F238E27FC236}">
              <a16:creationId xmlns:a16="http://schemas.microsoft.com/office/drawing/2014/main" id="{E2F0EE95-EFD1-48BD-97A7-0873CF6FE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410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52</xdr:row>
      <xdr:rowOff>0</xdr:rowOff>
    </xdr:from>
    <xdr:ext cx="1295400" cy="28575"/>
    <xdr:pic>
      <xdr:nvPicPr>
        <xdr:cNvPr id="143" name="Picture 1">
          <a:extLst>
            <a:ext uri="{FF2B5EF4-FFF2-40B4-BE49-F238E27FC236}">
              <a16:creationId xmlns:a16="http://schemas.microsoft.com/office/drawing/2014/main" id="{788ED2FA-AB17-4E67-A59A-BCFB5242C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4108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54</xdr:row>
      <xdr:rowOff>0</xdr:rowOff>
    </xdr:from>
    <xdr:ext cx="1295400" cy="28575"/>
    <xdr:pic>
      <xdr:nvPicPr>
        <xdr:cNvPr id="144" name="Picture 1">
          <a:extLst>
            <a:ext uri="{FF2B5EF4-FFF2-40B4-BE49-F238E27FC236}">
              <a16:creationId xmlns:a16="http://schemas.microsoft.com/office/drawing/2014/main" id="{98D004BD-02E7-42E5-93E5-6F1D2C8F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77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54</xdr:row>
      <xdr:rowOff>0</xdr:rowOff>
    </xdr:from>
    <xdr:ext cx="1295400" cy="28575"/>
    <xdr:pic>
      <xdr:nvPicPr>
        <xdr:cNvPr id="145" name="Picture 1">
          <a:extLst>
            <a:ext uri="{FF2B5EF4-FFF2-40B4-BE49-F238E27FC236}">
              <a16:creationId xmlns:a16="http://schemas.microsoft.com/office/drawing/2014/main" id="{D9E21DEF-76FC-4DBC-9685-C3928C60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77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54</xdr:row>
      <xdr:rowOff>0</xdr:rowOff>
    </xdr:from>
    <xdr:ext cx="1295400" cy="28575"/>
    <xdr:pic>
      <xdr:nvPicPr>
        <xdr:cNvPr id="146" name="Picture 1">
          <a:extLst>
            <a:ext uri="{FF2B5EF4-FFF2-40B4-BE49-F238E27FC236}">
              <a16:creationId xmlns:a16="http://schemas.microsoft.com/office/drawing/2014/main" id="{CCF66F05-C56D-4952-972D-489BD4BF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77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55</xdr:row>
      <xdr:rowOff>0</xdr:rowOff>
    </xdr:from>
    <xdr:ext cx="1295400" cy="28575"/>
    <xdr:pic>
      <xdr:nvPicPr>
        <xdr:cNvPr id="147" name="Picture 1">
          <a:extLst>
            <a:ext uri="{FF2B5EF4-FFF2-40B4-BE49-F238E27FC236}">
              <a16:creationId xmlns:a16="http://schemas.microsoft.com/office/drawing/2014/main" id="{BDD0325B-554E-45C0-9906-6EF072E2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0963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56</xdr:row>
      <xdr:rowOff>0</xdr:rowOff>
    </xdr:from>
    <xdr:ext cx="1295400" cy="28575"/>
    <xdr:pic>
      <xdr:nvPicPr>
        <xdr:cNvPr id="148" name="Picture 1">
          <a:extLst>
            <a:ext uri="{FF2B5EF4-FFF2-40B4-BE49-F238E27FC236}">
              <a16:creationId xmlns:a16="http://schemas.microsoft.com/office/drawing/2014/main" id="{ACBC3293-FC1B-4AC0-AC17-442324E3E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15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56</xdr:row>
      <xdr:rowOff>0</xdr:rowOff>
    </xdr:from>
    <xdr:ext cx="1295400" cy="28575"/>
    <xdr:pic>
      <xdr:nvPicPr>
        <xdr:cNvPr id="149" name="Picture 1">
          <a:extLst>
            <a:ext uri="{FF2B5EF4-FFF2-40B4-BE49-F238E27FC236}">
              <a16:creationId xmlns:a16="http://schemas.microsoft.com/office/drawing/2014/main" id="{14D7EC6B-EBE5-47B7-B644-90D39D9DD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15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57</xdr:row>
      <xdr:rowOff>0</xdr:rowOff>
    </xdr:from>
    <xdr:ext cx="1295400" cy="28575"/>
    <xdr:pic>
      <xdr:nvPicPr>
        <xdr:cNvPr id="150" name="Picture 1">
          <a:extLst>
            <a:ext uri="{FF2B5EF4-FFF2-40B4-BE49-F238E27FC236}">
              <a16:creationId xmlns:a16="http://schemas.microsoft.com/office/drawing/2014/main" id="{B8C31DBD-4AF3-4B47-8698-E53E65D16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34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57</xdr:row>
      <xdr:rowOff>0</xdr:rowOff>
    </xdr:from>
    <xdr:ext cx="1295400" cy="28575"/>
    <xdr:pic>
      <xdr:nvPicPr>
        <xdr:cNvPr id="151" name="Picture 1">
          <a:extLst>
            <a:ext uri="{FF2B5EF4-FFF2-40B4-BE49-F238E27FC236}">
              <a16:creationId xmlns:a16="http://schemas.microsoft.com/office/drawing/2014/main" id="{5281B251-1C70-4917-A460-54C243A5E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34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57</xdr:row>
      <xdr:rowOff>0</xdr:rowOff>
    </xdr:from>
    <xdr:ext cx="1295400" cy="28575"/>
    <xdr:pic>
      <xdr:nvPicPr>
        <xdr:cNvPr id="152" name="Picture 1">
          <a:extLst>
            <a:ext uri="{FF2B5EF4-FFF2-40B4-BE49-F238E27FC236}">
              <a16:creationId xmlns:a16="http://schemas.microsoft.com/office/drawing/2014/main" id="{823C2838-AD96-488A-902A-5309DDF91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34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58</xdr:row>
      <xdr:rowOff>0</xdr:rowOff>
    </xdr:from>
    <xdr:ext cx="1295400" cy="28575"/>
    <xdr:pic>
      <xdr:nvPicPr>
        <xdr:cNvPr id="153" name="Picture 1">
          <a:extLst>
            <a:ext uri="{FF2B5EF4-FFF2-40B4-BE49-F238E27FC236}">
              <a16:creationId xmlns:a16="http://schemas.microsoft.com/office/drawing/2014/main" id="{AD1D111D-247D-4133-9895-0C91B20A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53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58</xdr:row>
      <xdr:rowOff>0</xdr:rowOff>
    </xdr:from>
    <xdr:ext cx="1295400" cy="28575"/>
    <xdr:pic>
      <xdr:nvPicPr>
        <xdr:cNvPr id="154" name="Picture 1">
          <a:extLst>
            <a:ext uri="{FF2B5EF4-FFF2-40B4-BE49-F238E27FC236}">
              <a16:creationId xmlns:a16="http://schemas.microsoft.com/office/drawing/2014/main" id="{32736039-6477-4682-9371-D7B4FD803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53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59</xdr:row>
      <xdr:rowOff>0</xdr:rowOff>
    </xdr:from>
    <xdr:ext cx="1295400" cy="28575"/>
    <xdr:pic>
      <xdr:nvPicPr>
        <xdr:cNvPr id="155" name="Picture 1">
          <a:extLst>
            <a:ext uri="{FF2B5EF4-FFF2-40B4-BE49-F238E27FC236}">
              <a16:creationId xmlns:a16="http://schemas.microsoft.com/office/drawing/2014/main" id="{9A3D299F-EEC3-4365-BCEF-21B82925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2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59</xdr:row>
      <xdr:rowOff>0</xdr:rowOff>
    </xdr:from>
    <xdr:ext cx="1295400" cy="28575"/>
    <xdr:pic>
      <xdr:nvPicPr>
        <xdr:cNvPr id="156" name="Picture 1">
          <a:extLst>
            <a:ext uri="{FF2B5EF4-FFF2-40B4-BE49-F238E27FC236}">
              <a16:creationId xmlns:a16="http://schemas.microsoft.com/office/drawing/2014/main" id="{4AD159E0-968B-439E-98B4-9D60A940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2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59</xdr:row>
      <xdr:rowOff>0</xdr:rowOff>
    </xdr:from>
    <xdr:ext cx="1295400" cy="28575"/>
    <xdr:pic>
      <xdr:nvPicPr>
        <xdr:cNvPr id="157" name="Picture 1">
          <a:extLst>
            <a:ext uri="{FF2B5EF4-FFF2-40B4-BE49-F238E27FC236}">
              <a16:creationId xmlns:a16="http://schemas.microsoft.com/office/drawing/2014/main" id="{A2A89AC0-4181-4AFB-98FA-9FFD253C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2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60</xdr:row>
      <xdr:rowOff>0</xdr:rowOff>
    </xdr:from>
    <xdr:ext cx="1295400" cy="28575"/>
    <xdr:pic>
      <xdr:nvPicPr>
        <xdr:cNvPr id="158" name="Picture 1">
          <a:extLst>
            <a:ext uri="{FF2B5EF4-FFF2-40B4-BE49-F238E27FC236}">
              <a16:creationId xmlns:a16="http://schemas.microsoft.com/office/drawing/2014/main" id="{82F8A63A-D267-4A00-BE5D-0602D08FD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1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60</xdr:row>
      <xdr:rowOff>0</xdr:rowOff>
    </xdr:from>
    <xdr:ext cx="1295400" cy="28575"/>
    <xdr:pic>
      <xdr:nvPicPr>
        <xdr:cNvPr id="159" name="Picture 1">
          <a:extLst>
            <a:ext uri="{FF2B5EF4-FFF2-40B4-BE49-F238E27FC236}">
              <a16:creationId xmlns:a16="http://schemas.microsoft.com/office/drawing/2014/main" id="{24C6F566-A291-4DD1-B74B-CFA0FA09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1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60</xdr:row>
      <xdr:rowOff>0</xdr:rowOff>
    </xdr:from>
    <xdr:ext cx="1295400" cy="28575"/>
    <xdr:pic>
      <xdr:nvPicPr>
        <xdr:cNvPr id="160" name="Picture 1">
          <a:extLst>
            <a:ext uri="{FF2B5EF4-FFF2-40B4-BE49-F238E27FC236}">
              <a16:creationId xmlns:a16="http://schemas.microsoft.com/office/drawing/2014/main" id="{20AA429B-86D8-4BA1-B39A-916DCF677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1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61</xdr:row>
      <xdr:rowOff>0</xdr:rowOff>
    </xdr:from>
    <xdr:ext cx="1295400" cy="28575"/>
    <xdr:pic>
      <xdr:nvPicPr>
        <xdr:cNvPr id="161" name="Picture 1">
          <a:extLst>
            <a:ext uri="{FF2B5EF4-FFF2-40B4-BE49-F238E27FC236}">
              <a16:creationId xmlns:a16="http://schemas.microsoft.com/office/drawing/2014/main" id="{B4D83BA5-4C2B-425B-8D1F-34F320AE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10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61</xdr:row>
      <xdr:rowOff>0</xdr:rowOff>
    </xdr:from>
    <xdr:ext cx="1295400" cy="28575"/>
    <xdr:pic>
      <xdr:nvPicPr>
        <xdr:cNvPr id="162" name="Picture 1">
          <a:extLst>
            <a:ext uri="{FF2B5EF4-FFF2-40B4-BE49-F238E27FC236}">
              <a16:creationId xmlns:a16="http://schemas.microsoft.com/office/drawing/2014/main" id="{ACCB80B7-AA7A-4F49-A725-7D9C579D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10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61</xdr:row>
      <xdr:rowOff>0</xdr:rowOff>
    </xdr:from>
    <xdr:ext cx="1295400" cy="28575"/>
    <xdr:pic>
      <xdr:nvPicPr>
        <xdr:cNvPr id="163" name="Picture 1">
          <a:extLst>
            <a:ext uri="{FF2B5EF4-FFF2-40B4-BE49-F238E27FC236}">
              <a16:creationId xmlns:a16="http://schemas.microsoft.com/office/drawing/2014/main" id="{41631833-581E-4069-8113-514A1041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10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62</xdr:row>
      <xdr:rowOff>0</xdr:rowOff>
    </xdr:from>
    <xdr:ext cx="1295400" cy="28575"/>
    <xdr:pic>
      <xdr:nvPicPr>
        <xdr:cNvPr id="164" name="Picture 1">
          <a:extLst>
            <a:ext uri="{FF2B5EF4-FFF2-40B4-BE49-F238E27FC236}">
              <a16:creationId xmlns:a16="http://schemas.microsoft.com/office/drawing/2014/main" id="{CA70C8D9-87DF-458F-B6D3-DD1A22DE7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9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62</xdr:row>
      <xdr:rowOff>0</xdr:rowOff>
    </xdr:from>
    <xdr:ext cx="1295400" cy="28575"/>
    <xdr:pic>
      <xdr:nvPicPr>
        <xdr:cNvPr id="165" name="Picture 1">
          <a:extLst>
            <a:ext uri="{FF2B5EF4-FFF2-40B4-BE49-F238E27FC236}">
              <a16:creationId xmlns:a16="http://schemas.microsoft.com/office/drawing/2014/main" id="{F7898649-7EA1-47EA-B19D-8F534DB2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9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62</xdr:row>
      <xdr:rowOff>0</xdr:rowOff>
    </xdr:from>
    <xdr:ext cx="1295400" cy="28575"/>
    <xdr:pic>
      <xdr:nvPicPr>
        <xdr:cNvPr id="166" name="Picture 1">
          <a:extLst>
            <a:ext uri="{FF2B5EF4-FFF2-40B4-BE49-F238E27FC236}">
              <a16:creationId xmlns:a16="http://schemas.microsoft.com/office/drawing/2014/main" id="{AEA8FF4F-A394-450C-B45E-E669DA99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9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63</xdr:row>
      <xdr:rowOff>0</xdr:rowOff>
    </xdr:from>
    <xdr:ext cx="1295400" cy="28575"/>
    <xdr:pic>
      <xdr:nvPicPr>
        <xdr:cNvPr id="167" name="Picture 1">
          <a:extLst>
            <a:ext uri="{FF2B5EF4-FFF2-40B4-BE49-F238E27FC236}">
              <a16:creationId xmlns:a16="http://schemas.microsoft.com/office/drawing/2014/main" id="{2E244ADB-6EC5-454C-B068-103EB10AE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48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63</xdr:row>
      <xdr:rowOff>0</xdr:rowOff>
    </xdr:from>
    <xdr:ext cx="1295400" cy="28575"/>
    <xdr:pic>
      <xdr:nvPicPr>
        <xdr:cNvPr id="168" name="Picture 1">
          <a:extLst>
            <a:ext uri="{FF2B5EF4-FFF2-40B4-BE49-F238E27FC236}">
              <a16:creationId xmlns:a16="http://schemas.microsoft.com/office/drawing/2014/main" id="{67DA605F-9F9A-498B-8D47-1B1C69F02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48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63</xdr:row>
      <xdr:rowOff>0</xdr:rowOff>
    </xdr:from>
    <xdr:ext cx="1295400" cy="28575"/>
    <xdr:pic>
      <xdr:nvPicPr>
        <xdr:cNvPr id="169" name="Picture 1">
          <a:extLst>
            <a:ext uri="{FF2B5EF4-FFF2-40B4-BE49-F238E27FC236}">
              <a16:creationId xmlns:a16="http://schemas.microsoft.com/office/drawing/2014/main" id="{376A8976-FB2C-4702-B769-85B10AB64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48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64</xdr:row>
      <xdr:rowOff>0</xdr:rowOff>
    </xdr:from>
    <xdr:ext cx="1295400" cy="28575"/>
    <xdr:pic>
      <xdr:nvPicPr>
        <xdr:cNvPr id="170" name="Picture 1">
          <a:extLst>
            <a:ext uri="{FF2B5EF4-FFF2-40B4-BE49-F238E27FC236}">
              <a16:creationId xmlns:a16="http://schemas.microsoft.com/office/drawing/2014/main" id="{9788D191-7765-4B4D-849F-7C84AA8C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67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64</xdr:row>
      <xdr:rowOff>0</xdr:rowOff>
    </xdr:from>
    <xdr:ext cx="1295400" cy="28575"/>
    <xdr:pic>
      <xdr:nvPicPr>
        <xdr:cNvPr id="171" name="Picture 1">
          <a:extLst>
            <a:ext uri="{FF2B5EF4-FFF2-40B4-BE49-F238E27FC236}">
              <a16:creationId xmlns:a16="http://schemas.microsoft.com/office/drawing/2014/main" id="{D33744A5-5308-4614-B355-F0D87204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67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64</xdr:row>
      <xdr:rowOff>0</xdr:rowOff>
    </xdr:from>
    <xdr:ext cx="1295400" cy="28575"/>
    <xdr:pic>
      <xdr:nvPicPr>
        <xdr:cNvPr id="172" name="Picture 1">
          <a:extLst>
            <a:ext uri="{FF2B5EF4-FFF2-40B4-BE49-F238E27FC236}">
              <a16:creationId xmlns:a16="http://schemas.microsoft.com/office/drawing/2014/main" id="{AAEDC14E-64D1-49D3-9FF0-03A4E744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67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65</xdr:row>
      <xdr:rowOff>0</xdr:rowOff>
    </xdr:from>
    <xdr:ext cx="1295400" cy="28575"/>
    <xdr:pic>
      <xdr:nvPicPr>
        <xdr:cNvPr id="173" name="Picture 1">
          <a:extLst>
            <a:ext uri="{FF2B5EF4-FFF2-40B4-BE49-F238E27FC236}">
              <a16:creationId xmlns:a16="http://schemas.microsoft.com/office/drawing/2014/main" id="{057A74C5-7C31-4B27-82AE-B8416A6A9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6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65</xdr:row>
      <xdr:rowOff>0</xdr:rowOff>
    </xdr:from>
    <xdr:ext cx="1295400" cy="28575"/>
    <xdr:pic>
      <xdr:nvPicPr>
        <xdr:cNvPr id="174" name="Picture 1">
          <a:extLst>
            <a:ext uri="{FF2B5EF4-FFF2-40B4-BE49-F238E27FC236}">
              <a16:creationId xmlns:a16="http://schemas.microsoft.com/office/drawing/2014/main" id="{46D52F9B-3BCF-4CAA-8825-EA7293407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6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65</xdr:row>
      <xdr:rowOff>0</xdr:rowOff>
    </xdr:from>
    <xdr:ext cx="1295400" cy="28575"/>
    <xdr:pic>
      <xdr:nvPicPr>
        <xdr:cNvPr id="175" name="Picture 1">
          <a:extLst>
            <a:ext uri="{FF2B5EF4-FFF2-40B4-BE49-F238E27FC236}">
              <a16:creationId xmlns:a16="http://schemas.microsoft.com/office/drawing/2014/main" id="{2F47EED8-D333-462D-8C49-73C83E145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6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66</xdr:row>
      <xdr:rowOff>0</xdr:rowOff>
    </xdr:from>
    <xdr:ext cx="1295400" cy="28575"/>
    <xdr:pic>
      <xdr:nvPicPr>
        <xdr:cNvPr id="176" name="Picture 1">
          <a:extLst>
            <a:ext uri="{FF2B5EF4-FFF2-40B4-BE49-F238E27FC236}">
              <a16:creationId xmlns:a16="http://schemas.microsoft.com/office/drawing/2014/main" id="{C706E678-7E15-4112-BF26-D363DA08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05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66</xdr:row>
      <xdr:rowOff>0</xdr:rowOff>
    </xdr:from>
    <xdr:ext cx="1295400" cy="28575"/>
    <xdr:pic>
      <xdr:nvPicPr>
        <xdr:cNvPr id="177" name="Picture 1">
          <a:extLst>
            <a:ext uri="{FF2B5EF4-FFF2-40B4-BE49-F238E27FC236}">
              <a16:creationId xmlns:a16="http://schemas.microsoft.com/office/drawing/2014/main" id="{9539F4C2-6332-41D7-8589-8D2132FA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05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66</xdr:row>
      <xdr:rowOff>0</xdr:rowOff>
    </xdr:from>
    <xdr:ext cx="1295400" cy="28575"/>
    <xdr:pic>
      <xdr:nvPicPr>
        <xdr:cNvPr id="178" name="Picture 1">
          <a:extLst>
            <a:ext uri="{FF2B5EF4-FFF2-40B4-BE49-F238E27FC236}">
              <a16:creationId xmlns:a16="http://schemas.microsoft.com/office/drawing/2014/main" id="{068BF818-EF6D-41F5-AF3D-37611964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05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67</xdr:row>
      <xdr:rowOff>0</xdr:rowOff>
    </xdr:from>
    <xdr:ext cx="1295400" cy="28575"/>
    <xdr:pic>
      <xdr:nvPicPr>
        <xdr:cNvPr id="179" name="Picture 1">
          <a:extLst>
            <a:ext uri="{FF2B5EF4-FFF2-40B4-BE49-F238E27FC236}">
              <a16:creationId xmlns:a16="http://schemas.microsoft.com/office/drawing/2014/main" id="{38303D27-05C4-4F21-BF1D-B53C6435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49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67</xdr:row>
      <xdr:rowOff>0</xdr:rowOff>
    </xdr:from>
    <xdr:ext cx="1295400" cy="28575"/>
    <xdr:pic>
      <xdr:nvPicPr>
        <xdr:cNvPr id="180" name="Picture 1">
          <a:extLst>
            <a:ext uri="{FF2B5EF4-FFF2-40B4-BE49-F238E27FC236}">
              <a16:creationId xmlns:a16="http://schemas.microsoft.com/office/drawing/2014/main" id="{9CCBDC0F-D279-4A53-9C08-E9DA639F3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49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67</xdr:row>
      <xdr:rowOff>0</xdr:rowOff>
    </xdr:from>
    <xdr:ext cx="1295400" cy="28575"/>
    <xdr:pic>
      <xdr:nvPicPr>
        <xdr:cNvPr id="181" name="Picture 1">
          <a:extLst>
            <a:ext uri="{FF2B5EF4-FFF2-40B4-BE49-F238E27FC236}">
              <a16:creationId xmlns:a16="http://schemas.microsoft.com/office/drawing/2014/main" id="{46A6CBE1-812F-44F2-ABD4-518245218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49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68</xdr:row>
      <xdr:rowOff>0</xdr:rowOff>
    </xdr:from>
    <xdr:ext cx="1295400" cy="28575"/>
    <xdr:pic>
      <xdr:nvPicPr>
        <xdr:cNvPr id="182" name="Picture 1">
          <a:extLst>
            <a:ext uri="{FF2B5EF4-FFF2-40B4-BE49-F238E27FC236}">
              <a16:creationId xmlns:a16="http://schemas.microsoft.com/office/drawing/2014/main" id="{39C8F436-C29D-429C-ADE4-0F7AA61F3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439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68</xdr:row>
      <xdr:rowOff>0</xdr:rowOff>
    </xdr:from>
    <xdr:ext cx="1295400" cy="28575"/>
    <xdr:pic>
      <xdr:nvPicPr>
        <xdr:cNvPr id="183" name="Picture 1">
          <a:extLst>
            <a:ext uri="{FF2B5EF4-FFF2-40B4-BE49-F238E27FC236}">
              <a16:creationId xmlns:a16="http://schemas.microsoft.com/office/drawing/2014/main" id="{6671796E-1836-450D-A1C7-7E41D01D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439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68</xdr:row>
      <xdr:rowOff>0</xdr:rowOff>
    </xdr:from>
    <xdr:ext cx="1295400" cy="28575"/>
    <xdr:pic>
      <xdr:nvPicPr>
        <xdr:cNvPr id="184" name="Picture 1">
          <a:extLst>
            <a:ext uri="{FF2B5EF4-FFF2-40B4-BE49-F238E27FC236}">
              <a16:creationId xmlns:a16="http://schemas.microsoft.com/office/drawing/2014/main" id="{D08DADD8-4A19-4811-9627-3B4BB77F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439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69</xdr:row>
      <xdr:rowOff>0</xdr:rowOff>
    </xdr:from>
    <xdr:ext cx="1295400" cy="28575"/>
    <xdr:pic>
      <xdr:nvPicPr>
        <xdr:cNvPr id="185" name="Picture 1">
          <a:extLst>
            <a:ext uri="{FF2B5EF4-FFF2-40B4-BE49-F238E27FC236}">
              <a16:creationId xmlns:a16="http://schemas.microsoft.com/office/drawing/2014/main" id="{8C20EE75-3440-4F75-A365-934E28CA2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630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69</xdr:row>
      <xdr:rowOff>0</xdr:rowOff>
    </xdr:from>
    <xdr:ext cx="1295400" cy="28575"/>
    <xdr:pic>
      <xdr:nvPicPr>
        <xdr:cNvPr id="186" name="Picture 1">
          <a:extLst>
            <a:ext uri="{FF2B5EF4-FFF2-40B4-BE49-F238E27FC236}">
              <a16:creationId xmlns:a16="http://schemas.microsoft.com/office/drawing/2014/main" id="{FCDA47C1-2B09-4D8C-9766-FA78049D6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630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69</xdr:row>
      <xdr:rowOff>0</xdr:rowOff>
    </xdr:from>
    <xdr:ext cx="1295400" cy="28575"/>
    <xdr:pic>
      <xdr:nvPicPr>
        <xdr:cNvPr id="187" name="Picture 1">
          <a:extLst>
            <a:ext uri="{FF2B5EF4-FFF2-40B4-BE49-F238E27FC236}">
              <a16:creationId xmlns:a16="http://schemas.microsoft.com/office/drawing/2014/main" id="{473E887D-4A14-4904-B4B1-5473E96FC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630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70</xdr:row>
      <xdr:rowOff>0</xdr:rowOff>
    </xdr:from>
    <xdr:ext cx="1295400" cy="28575"/>
    <xdr:pic>
      <xdr:nvPicPr>
        <xdr:cNvPr id="188" name="Picture 1">
          <a:extLst>
            <a:ext uri="{FF2B5EF4-FFF2-40B4-BE49-F238E27FC236}">
              <a16:creationId xmlns:a16="http://schemas.microsoft.com/office/drawing/2014/main" id="{92204D9D-B1A7-4A81-9C3A-5BE88D5F2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820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70</xdr:row>
      <xdr:rowOff>0</xdr:rowOff>
    </xdr:from>
    <xdr:ext cx="1295400" cy="28575"/>
    <xdr:pic>
      <xdr:nvPicPr>
        <xdr:cNvPr id="189" name="Picture 1">
          <a:extLst>
            <a:ext uri="{FF2B5EF4-FFF2-40B4-BE49-F238E27FC236}">
              <a16:creationId xmlns:a16="http://schemas.microsoft.com/office/drawing/2014/main" id="{4D5CFB24-06FF-401C-B199-174ECFC6D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820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70</xdr:row>
      <xdr:rowOff>0</xdr:rowOff>
    </xdr:from>
    <xdr:ext cx="1295400" cy="28575"/>
    <xdr:pic>
      <xdr:nvPicPr>
        <xdr:cNvPr id="190" name="Picture 1">
          <a:extLst>
            <a:ext uri="{FF2B5EF4-FFF2-40B4-BE49-F238E27FC236}">
              <a16:creationId xmlns:a16="http://schemas.microsoft.com/office/drawing/2014/main" id="{FC1CE0AE-5360-4454-AA23-5A92C65C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820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71</xdr:row>
      <xdr:rowOff>0</xdr:rowOff>
    </xdr:from>
    <xdr:ext cx="1295400" cy="28575"/>
    <xdr:pic>
      <xdr:nvPicPr>
        <xdr:cNvPr id="191" name="Picture 1">
          <a:extLst>
            <a:ext uri="{FF2B5EF4-FFF2-40B4-BE49-F238E27FC236}">
              <a16:creationId xmlns:a16="http://schemas.microsoft.com/office/drawing/2014/main" id="{E40ECA3F-F98F-4F67-91C6-46891B3F5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011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71</xdr:row>
      <xdr:rowOff>0</xdr:rowOff>
    </xdr:from>
    <xdr:ext cx="1295400" cy="28575"/>
    <xdr:pic>
      <xdr:nvPicPr>
        <xdr:cNvPr id="192" name="Picture 1">
          <a:extLst>
            <a:ext uri="{FF2B5EF4-FFF2-40B4-BE49-F238E27FC236}">
              <a16:creationId xmlns:a16="http://schemas.microsoft.com/office/drawing/2014/main" id="{B644F7EC-5A03-4C3E-9DEE-6DACEC7D4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011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71</xdr:row>
      <xdr:rowOff>0</xdr:rowOff>
    </xdr:from>
    <xdr:ext cx="1295400" cy="28575"/>
    <xdr:pic>
      <xdr:nvPicPr>
        <xdr:cNvPr id="193" name="Picture 1">
          <a:extLst>
            <a:ext uri="{FF2B5EF4-FFF2-40B4-BE49-F238E27FC236}">
              <a16:creationId xmlns:a16="http://schemas.microsoft.com/office/drawing/2014/main" id="{B60FFC51-D9D2-42CB-A506-B9AD63630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011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72</xdr:row>
      <xdr:rowOff>0</xdr:rowOff>
    </xdr:from>
    <xdr:ext cx="1295400" cy="28575"/>
    <xdr:pic>
      <xdr:nvPicPr>
        <xdr:cNvPr id="194" name="Picture 1">
          <a:extLst>
            <a:ext uri="{FF2B5EF4-FFF2-40B4-BE49-F238E27FC236}">
              <a16:creationId xmlns:a16="http://schemas.microsoft.com/office/drawing/2014/main" id="{CECD0651-E864-4CD0-8B6F-757F24856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201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72</xdr:row>
      <xdr:rowOff>0</xdr:rowOff>
    </xdr:from>
    <xdr:ext cx="1295400" cy="28575"/>
    <xdr:pic>
      <xdr:nvPicPr>
        <xdr:cNvPr id="195" name="Picture 1">
          <a:extLst>
            <a:ext uri="{FF2B5EF4-FFF2-40B4-BE49-F238E27FC236}">
              <a16:creationId xmlns:a16="http://schemas.microsoft.com/office/drawing/2014/main" id="{C93EFD1C-EC37-4B60-B038-85FAC32A7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201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72</xdr:row>
      <xdr:rowOff>0</xdr:rowOff>
    </xdr:from>
    <xdr:ext cx="1295400" cy="28575"/>
    <xdr:pic>
      <xdr:nvPicPr>
        <xdr:cNvPr id="196" name="Picture 1">
          <a:extLst>
            <a:ext uri="{FF2B5EF4-FFF2-40B4-BE49-F238E27FC236}">
              <a16:creationId xmlns:a16="http://schemas.microsoft.com/office/drawing/2014/main" id="{ADDA0778-E652-4C05-84BB-652898D52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201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73</xdr:row>
      <xdr:rowOff>0</xdr:rowOff>
    </xdr:from>
    <xdr:ext cx="1295400" cy="28575"/>
    <xdr:pic>
      <xdr:nvPicPr>
        <xdr:cNvPr id="197" name="Picture 1">
          <a:extLst>
            <a:ext uri="{FF2B5EF4-FFF2-40B4-BE49-F238E27FC236}">
              <a16:creationId xmlns:a16="http://schemas.microsoft.com/office/drawing/2014/main" id="{1DB64AC0-05EA-44C7-8341-A85D47CE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392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73</xdr:row>
      <xdr:rowOff>0</xdr:rowOff>
    </xdr:from>
    <xdr:ext cx="1295400" cy="28575"/>
    <xdr:pic>
      <xdr:nvPicPr>
        <xdr:cNvPr id="198" name="Picture 1">
          <a:extLst>
            <a:ext uri="{FF2B5EF4-FFF2-40B4-BE49-F238E27FC236}">
              <a16:creationId xmlns:a16="http://schemas.microsoft.com/office/drawing/2014/main" id="{6ACBFA12-E4A4-422E-9C0F-729928EF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392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73</xdr:row>
      <xdr:rowOff>0</xdr:rowOff>
    </xdr:from>
    <xdr:ext cx="1295400" cy="28575"/>
    <xdr:pic>
      <xdr:nvPicPr>
        <xdr:cNvPr id="199" name="Picture 1">
          <a:extLst>
            <a:ext uri="{FF2B5EF4-FFF2-40B4-BE49-F238E27FC236}">
              <a16:creationId xmlns:a16="http://schemas.microsoft.com/office/drawing/2014/main" id="{06479AD8-3F99-4735-93F4-C1975FDAC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392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74</xdr:row>
      <xdr:rowOff>0</xdr:rowOff>
    </xdr:from>
    <xdr:ext cx="1295400" cy="28575"/>
    <xdr:pic>
      <xdr:nvPicPr>
        <xdr:cNvPr id="200" name="Picture 1">
          <a:extLst>
            <a:ext uri="{FF2B5EF4-FFF2-40B4-BE49-F238E27FC236}">
              <a16:creationId xmlns:a16="http://schemas.microsoft.com/office/drawing/2014/main" id="{70C915FA-F889-4BCC-94FB-3D0D7158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58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74</xdr:row>
      <xdr:rowOff>0</xdr:rowOff>
    </xdr:from>
    <xdr:ext cx="1295400" cy="28575"/>
    <xdr:pic>
      <xdr:nvPicPr>
        <xdr:cNvPr id="201" name="Picture 1">
          <a:extLst>
            <a:ext uri="{FF2B5EF4-FFF2-40B4-BE49-F238E27FC236}">
              <a16:creationId xmlns:a16="http://schemas.microsoft.com/office/drawing/2014/main" id="{4393F931-19CA-43A0-A80E-D305DB867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58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74</xdr:row>
      <xdr:rowOff>0</xdr:rowOff>
    </xdr:from>
    <xdr:ext cx="1295400" cy="28575"/>
    <xdr:pic>
      <xdr:nvPicPr>
        <xdr:cNvPr id="202" name="Picture 1">
          <a:extLst>
            <a:ext uri="{FF2B5EF4-FFF2-40B4-BE49-F238E27FC236}">
              <a16:creationId xmlns:a16="http://schemas.microsoft.com/office/drawing/2014/main" id="{B27E6809-CB9B-4DAC-9F33-F1511D946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582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75</xdr:row>
      <xdr:rowOff>0</xdr:rowOff>
    </xdr:from>
    <xdr:ext cx="1295400" cy="28575"/>
    <xdr:pic>
      <xdr:nvPicPr>
        <xdr:cNvPr id="203" name="Picture 1">
          <a:extLst>
            <a:ext uri="{FF2B5EF4-FFF2-40B4-BE49-F238E27FC236}">
              <a16:creationId xmlns:a16="http://schemas.microsoft.com/office/drawing/2014/main" id="{A1AD8A4D-6A92-413C-BBEC-D63A597D3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773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75</xdr:row>
      <xdr:rowOff>0</xdr:rowOff>
    </xdr:from>
    <xdr:ext cx="1295400" cy="28575"/>
    <xdr:pic>
      <xdr:nvPicPr>
        <xdr:cNvPr id="204" name="Picture 1">
          <a:extLst>
            <a:ext uri="{FF2B5EF4-FFF2-40B4-BE49-F238E27FC236}">
              <a16:creationId xmlns:a16="http://schemas.microsoft.com/office/drawing/2014/main" id="{912964DD-7F55-4200-BF5B-3415A5C7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773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75</xdr:row>
      <xdr:rowOff>0</xdr:rowOff>
    </xdr:from>
    <xdr:ext cx="1295400" cy="28575"/>
    <xdr:pic>
      <xdr:nvPicPr>
        <xdr:cNvPr id="205" name="Picture 1">
          <a:extLst>
            <a:ext uri="{FF2B5EF4-FFF2-40B4-BE49-F238E27FC236}">
              <a16:creationId xmlns:a16="http://schemas.microsoft.com/office/drawing/2014/main" id="{8497BD29-AF8E-4A25-960B-051BA69D4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773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76</xdr:row>
      <xdr:rowOff>0</xdr:rowOff>
    </xdr:from>
    <xdr:ext cx="1295400" cy="28575"/>
    <xdr:pic>
      <xdr:nvPicPr>
        <xdr:cNvPr id="206" name="Picture 1">
          <a:extLst>
            <a:ext uri="{FF2B5EF4-FFF2-40B4-BE49-F238E27FC236}">
              <a16:creationId xmlns:a16="http://schemas.microsoft.com/office/drawing/2014/main" id="{F5CFE1EE-27D0-4C6F-ACF9-B98B514C2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96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76</xdr:row>
      <xdr:rowOff>0</xdr:rowOff>
    </xdr:from>
    <xdr:ext cx="1295400" cy="28575"/>
    <xdr:pic>
      <xdr:nvPicPr>
        <xdr:cNvPr id="207" name="Picture 1">
          <a:extLst>
            <a:ext uri="{FF2B5EF4-FFF2-40B4-BE49-F238E27FC236}">
              <a16:creationId xmlns:a16="http://schemas.microsoft.com/office/drawing/2014/main" id="{1191D44C-6265-49F9-860C-230D40A2F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4963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77</xdr:row>
      <xdr:rowOff>0</xdr:rowOff>
    </xdr:from>
    <xdr:ext cx="1295400" cy="28575"/>
    <xdr:pic>
      <xdr:nvPicPr>
        <xdr:cNvPr id="208" name="Picture 1">
          <a:extLst>
            <a:ext uri="{FF2B5EF4-FFF2-40B4-BE49-F238E27FC236}">
              <a16:creationId xmlns:a16="http://schemas.microsoft.com/office/drawing/2014/main" id="{AB5E07D2-84A7-4B02-A592-9C524D580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15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77</xdr:row>
      <xdr:rowOff>0</xdr:rowOff>
    </xdr:from>
    <xdr:ext cx="1295400" cy="28575"/>
    <xdr:pic>
      <xdr:nvPicPr>
        <xdr:cNvPr id="209" name="Picture 1">
          <a:extLst>
            <a:ext uri="{FF2B5EF4-FFF2-40B4-BE49-F238E27FC236}">
              <a16:creationId xmlns:a16="http://schemas.microsoft.com/office/drawing/2014/main" id="{58399A1C-E900-48A5-8A6D-14CEE58B2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15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77</xdr:row>
      <xdr:rowOff>0</xdr:rowOff>
    </xdr:from>
    <xdr:ext cx="1295400" cy="28575"/>
    <xdr:pic>
      <xdr:nvPicPr>
        <xdr:cNvPr id="210" name="Picture 1">
          <a:extLst>
            <a:ext uri="{FF2B5EF4-FFF2-40B4-BE49-F238E27FC236}">
              <a16:creationId xmlns:a16="http://schemas.microsoft.com/office/drawing/2014/main" id="{07C49492-71DD-439C-B9B8-2CD4B0B5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154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78</xdr:row>
      <xdr:rowOff>0</xdr:rowOff>
    </xdr:from>
    <xdr:ext cx="1295400" cy="28575"/>
    <xdr:pic>
      <xdr:nvPicPr>
        <xdr:cNvPr id="211" name="Picture 1">
          <a:extLst>
            <a:ext uri="{FF2B5EF4-FFF2-40B4-BE49-F238E27FC236}">
              <a16:creationId xmlns:a16="http://schemas.microsoft.com/office/drawing/2014/main" id="{CA730D3E-415D-4C74-B67E-F8E8D41FA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34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78</xdr:row>
      <xdr:rowOff>0</xdr:rowOff>
    </xdr:from>
    <xdr:ext cx="1295400" cy="28575"/>
    <xdr:pic>
      <xdr:nvPicPr>
        <xdr:cNvPr id="212" name="Picture 1">
          <a:extLst>
            <a:ext uri="{FF2B5EF4-FFF2-40B4-BE49-F238E27FC236}">
              <a16:creationId xmlns:a16="http://schemas.microsoft.com/office/drawing/2014/main" id="{8736C2DA-A630-4780-B82F-8EA1E1D98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34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78</xdr:row>
      <xdr:rowOff>0</xdr:rowOff>
    </xdr:from>
    <xdr:ext cx="1295400" cy="28575"/>
    <xdr:pic>
      <xdr:nvPicPr>
        <xdr:cNvPr id="213" name="Picture 1">
          <a:extLst>
            <a:ext uri="{FF2B5EF4-FFF2-40B4-BE49-F238E27FC236}">
              <a16:creationId xmlns:a16="http://schemas.microsoft.com/office/drawing/2014/main" id="{A2FEF16C-C5D5-43BF-8D5E-2BB7A263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344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79</xdr:row>
      <xdr:rowOff>0</xdr:rowOff>
    </xdr:from>
    <xdr:ext cx="1295400" cy="28575"/>
    <xdr:pic>
      <xdr:nvPicPr>
        <xdr:cNvPr id="214" name="Picture 1">
          <a:extLst>
            <a:ext uri="{FF2B5EF4-FFF2-40B4-BE49-F238E27FC236}">
              <a16:creationId xmlns:a16="http://schemas.microsoft.com/office/drawing/2014/main" id="{958E0882-8050-4E69-B28C-E53C3FE4B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53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79</xdr:row>
      <xdr:rowOff>0</xdr:rowOff>
    </xdr:from>
    <xdr:ext cx="1295400" cy="28575"/>
    <xdr:pic>
      <xdr:nvPicPr>
        <xdr:cNvPr id="215" name="Picture 1">
          <a:extLst>
            <a:ext uri="{FF2B5EF4-FFF2-40B4-BE49-F238E27FC236}">
              <a16:creationId xmlns:a16="http://schemas.microsoft.com/office/drawing/2014/main" id="{E58E30AA-CF26-4FC6-84B7-58CEBFD72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53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79</xdr:row>
      <xdr:rowOff>0</xdr:rowOff>
    </xdr:from>
    <xdr:ext cx="1295400" cy="28575"/>
    <xdr:pic>
      <xdr:nvPicPr>
        <xdr:cNvPr id="216" name="Picture 1">
          <a:extLst>
            <a:ext uri="{FF2B5EF4-FFF2-40B4-BE49-F238E27FC236}">
              <a16:creationId xmlns:a16="http://schemas.microsoft.com/office/drawing/2014/main" id="{E3FAAEDB-7026-4D22-B5AF-5EA8297D8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535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80</xdr:row>
      <xdr:rowOff>0</xdr:rowOff>
    </xdr:from>
    <xdr:ext cx="1295400" cy="28575"/>
    <xdr:pic>
      <xdr:nvPicPr>
        <xdr:cNvPr id="217" name="Picture 1">
          <a:extLst>
            <a:ext uri="{FF2B5EF4-FFF2-40B4-BE49-F238E27FC236}">
              <a16:creationId xmlns:a16="http://schemas.microsoft.com/office/drawing/2014/main" id="{72240F98-2BEC-46B6-B5CE-DE3A41B8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72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80</xdr:row>
      <xdr:rowOff>0</xdr:rowOff>
    </xdr:from>
    <xdr:ext cx="1295400" cy="28575"/>
    <xdr:pic>
      <xdr:nvPicPr>
        <xdr:cNvPr id="218" name="Picture 1">
          <a:extLst>
            <a:ext uri="{FF2B5EF4-FFF2-40B4-BE49-F238E27FC236}">
              <a16:creationId xmlns:a16="http://schemas.microsoft.com/office/drawing/2014/main" id="{9DF1590F-1DD8-4027-8F8E-20288564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72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80</xdr:row>
      <xdr:rowOff>0</xdr:rowOff>
    </xdr:from>
    <xdr:ext cx="1295400" cy="28575"/>
    <xdr:pic>
      <xdr:nvPicPr>
        <xdr:cNvPr id="219" name="Picture 1">
          <a:extLst>
            <a:ext uri="{FF2B5EF4-FFF2-40B4-BE49-F238E27FC236}">
              <a16:creationId xmlns:a16="http://schemas.microsoft.com/office/drawing/2014/main" id="{D5169440-2C6E-4911-8DFB-E9D2D5E52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725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81</xdr:row>
      <xdr:rowOff>0</xdr:rowOff>
    </xdr:from>
    <xdr:ext cx="1295400" cy="28575"/>
    <xdr:pic>
      <xdr:nvPicPr>
        <xdr:cNvPr id="220" name="Picture 1">
          <a:extLst>
            <a:ext uri="{FF2B5EF4-FFF2-40B4-BE49-F238E27FC236}">
              <a16:creationId xmlns:a16="http://schemas.microsoft.com/office/drawing/2014/main" id="{11C285D6-3F0A-499D-8018-200145E22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1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81</xdr:row>
      <xdr:rowOff>0</xdr:rowOff>
    </xdr:from>
    <xdr:ext cx="1295400" cy="28575"/>
    <xdr:pic>
      <xdr:nvPicPr>
        <xdr:cNvPr id="221" name="Picture 1">
          <a:extLst>
            <a:ext uri="{FF2B5EF4-FFF2-40B4-BE49-F238E27FC236}">
              <a16:creationId xmlns:a16="http://schemas.microsoft.com/office/drawing/2014/main" id="{B1B519C5-0DF5-4D66-ADD8-D5FB2F551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1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81</xdr:row>
      <xdr:rowOff>0</xdr:rowOff>
    </xdr:from>
    <xdr:ext cx="1295400" cy="28575"/>
    <xdr:pic>
      <xdr:nvPicPr>
        <xdr:cNvPr id="222" name="Picture 1">
          <a:extLst>
            <a:ext uri="{FF2B5EF4-FFF2-40B4-BE49-F238E27FC236}">
              <a16:creationId xmlns:a16="http://schemas.microsoft.com/office/drawing/2014/main" id="{4505D702-37C3-4537-AEFC-9FC7F6A84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16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82</xdr:row>
      <xdr:rowOff>0</xdr:rowOff>
    </xdr:from>
    <xdr:ext cx="1295400" cy="28575"/>
    <xdr:pic>
      <xdr:nvPicPr>
        <xdr:cNvPr id="223" name="Picture 1">
          <a:extLst>
            <a:ext uri="{FF2B5EF4-FFF2-40B4-BE49-F238E27FC236}">
              <a16:creationId xmlns:a16="http://schemas.microsoft.com/office/drawing/2014/main" id="{126D2600-F588-41DC-B23E-B3911B6B7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10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82</xdr:row>
      <xdr:rowOff>0</xdr:rowOff>
    </xdr:from>
    <xdr:ext cx="1295400" cy="28575"/>
    <xdr:pic>
      <xdr:nvPicPr>
        <xdr:cNvPr id="224" name="Picture 1">
          <a:extLst>
            <a:ext uri="{FF2B5EF4-FFF2-40B4-BE49-F238E27FC236}">
              <a16:creationId xmlns:a16="http://schemas.microsoft.com/office/drawing/2014/main" id="{8CB1527B-9297-4749-BA3A-B81FDA4B7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10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82</xdr:row>
      <xdr:rowOff>0</xdr:rowOff>
    </xdr:from>
    <xdr:ext cx="1295400" cy="28575"/>
    <xdr:pic>
      <xdr:nvPicPr>
        <xdr:cNvPr id="225" name="Picture 1">
          <a:extLst>
            <a:ext uri="{FF2B5EF4-FFF2-40B4-BE49-F238E27FC236}">
              <a16:creationId xmlns:a16="http://schemas.microsoft.com/office/drawing/2014/main" id="{8B0307BC-5118-49EC-AE42-913BD5080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106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83</xdr:row>
      <xdr:rowOff>0</xdr:rowOff>
    </xdr:from>
    <xdr:ext cx="1295400" cy="28575"/>
    <xdr:pic>
      <xdr:nvPicPr>
        <xdr:cNvPr id="226" name="Picture 1">
          <a:extLst>
            <a:ext uri="{FF2B5EF4-FFF2-40B4-BE49-F238E27FC236}">
              <a16:creationId xmlns:a16="http://schemas.microsoft.com/office/drawing/2014/main" id="{7CE7AD51-7684-440D-BA3C-270821C6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29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83</xdr:row>
      <xdr:rowOff>0</xdr:rowOff>
    </xdr:from>
    <xdr:ext cx="1295400" cy="28575"/>
    <xdr:pic>
      <xdr:nvPicPr>
        <xdr:cNvPr id="227" name="Picture 1">
          <a:extLst>
            <a:ext uri="{FF2B5EF4-FFF2-40B4-BE49-F238E27FC236}">
              <a16:creationId xmlns:a16="http://schemas.microsoft.com/office/drawing/2014/main" id="{0FD3239E-BAD9-4A92-88AB-A2CD53C3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29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83</xdr:row>
      <xdr:rowOff>0</xdr:rowOff>
    </xdr:from>
    <xdr:ext cx="1295400" cy="28575"/>
    <xdr:pic>
      <xdr:nvPicPr>
        <xdr:cNvPr id="228" name="Picture 1">
          <a:extLst>
            <a:ext uri="{FF2B5EF4-FFF2-40B4-BE49-F238E27FC236}">
              <a16:creationId xmlns:a16="http://schemas.microsoft.com/office/drawing/2014/main" id="{782C0639-0E03-4C82-8E1A-D458E8EA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297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229" name="Picture 1">
          <a:extLst>
            <a:ext uri="{FF2B5EF4-FFF2-40B4-BE49-F238E27FC236}">
              <a16:creationId xmlns:a16="http://schemas.microsoft.com/office/drawing/2014/main" id="{EBF32475-B23E-479C-9259-58075D25F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230" name="Picture 1">
          <a:extLst>
            <a:ext uri="{FF2B5EF4-FFF2-40B4-BE49-F238E27FC236}">
              <a16:creationId xmlns:a16="http://schemas.microsoft.com/office/drawing/2014/main" id="{B7A0AD1F-0CBD-4E58-8761-C221E4BEE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231" name="Picture 1">
          <a:extLst>
            <a:ext uri="{FF2B5EF4-FFF2-40B4-BE49-F238E27FC236}">
              <a16:creationId xmlns:a16="http://schemas.microsoft.com/office/drawing/2014/main" id="{EAF0DEA8-9407-4CAF-B7C3-D29213DF5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85</xdr:row>
      <xdr:rowOff>0</xdr:rowOff>
    </xdr:from>
    <xdr:ext cx="1295400" cy="28575"/>
    <xdr:pic>
      <xdr:nvPicPr>
        <xdr:cNvPr id="232" name="Picture 1">
          <a:extLst>
            <a:ext uri="{FF2B5EF4-FFF2-40B4-BE49-F238E27FC236}">
              <a16:creationId xmlns:a16="http://schemas.microsoft.com/office/drawing/2014/main" id="{C58202B0-B626-4582-AED0-6A3D95C49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67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85</xdr:row>
      <xdr:rowOff>0</xdr:rowOff>
    </xdr:from>
    <xdr:ext cx="1295400" cy="28575"/>
    <xdr:pic>
      <xdr:nvPicPr>
        <xdr:cNvPr id="233" name="Picture 1">
          <a:extLst>
            <a:ext uri="{FF2B5EF4-FFF2-40B4-BE49-F238E27FC236}">
              <a16:creationId xmlns:a16="http://schemas.microsoft.com/office/drawing/2014/main" id="{249A40ED-EB9F-4E63-AF65-DABCC4B19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6782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86</xdr:row>
      <xdr:rowOff>0</xdr:rowOff>
    </xdr:from>
    <xdr:ext cx="1295400" cy="28575"/>
    <xdr:pic>
      <xdr:nvPicPr>
        <xdr:cNvPr id="234" name="Picture 1">
          <a:extLst>
            <a:ext uri="{FF2B5EF4-FFF2-40B4-BE49-F238E27FC236}">
              <a16:creationId xmlns:a16="http://schemas.microsoft.com/office/drawing/2014/main" id="{AE37A122-8CA4-4299-B539-48BB1C8D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86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86</xdr:row>
      <xdr:rowOff>0</xdr:rowOff>
    </xdr:from>
    <xdr:ext cx="1295400" cy="28575"/>
    <xdr:pic>
      <xdr:nvPicPr>
        <xdr:cNvPr id="235" name="Picture 1">
          <a:extLst>
            <a:ext uri="{FF2B5EF4-FFF2-40B4-BE49-F238E27FC236}">
              <a16:creationId xmlns:a16="http://schemas.microsoft.com/office/drawing/2014/main" id="{CEE5BA6A-A108-40FA-90FF-9C942C87D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86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86</xdr:row>
      <xdr:rowOff>0</xdr:rowOff>
    </xdr:from>
    <xdr:ext cx="1295400" cy="28575"/>
    <xdr:pic>
      <xdr:nvPicPr>
        <xdr:cNvPr id="236" name="Picture 1">
          <a:extLst>
            <a:ext uri="{FF2B5EF4-FFF2-40B4-BE49-F238E27FC236}">
              <a16:creationId xmlns:a16="http://schemas.microsoft.com/office/drawing/2014/main" id="{886D5346-AED6-441E-B7D5-1664A1BD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868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237" name="Picture 1">
          <a:extLst>
            <a:ext uri="{FF2B5EF4-FFF2-40B4-BE49-F238E27FC236}">
              <a16:creationId xmlns:a16="http://schemas.microsoft.com/office/drawing/2014/main" id="{E4A5F2D6-9AC3-4663-AA00-7CDB21D33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238" name="Picture 1">
          <a:extLst>
            <a:ext uri="{FF2B5EF4-FFF2-40B4-BE49-F238E27FC236}">
              <a16:creationId xmlns:a16="http://schemas.microsoft.com/office/drawing/2014/main" id="{D46CF25B-EC4F-4616-A93D-BDADB448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239" name="Picture 1">
          <a:extLst>
            <a:ext uri="{FF2B5EF4-FFF2-40B4-BE49-F238E27FC236}">
              <a16:creationId xmlns:a16="http://schemas.microsoft.com/office/drawing/2014/main" id="{8E388090-E51E-4827-849E-578152E7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240" name="Picture 1">
          <a:extLst>
            <a:ext uri="{FF2B5EF4-FFF2-40B4-BE49-F238E27FC236}">
              <a16:creationId xmlns:a16="http://schemas.microsoft.com/office/drawing/2014/main" id="{ABCE2E5C-13C2-4415-90E5-3EF535B81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84</xdr:row>
      <xdr:rowOff>0</xdr:rowOff>
    </xdr:from>
    <xdr:ext cx="1295400" cy="28575"/>
    <xdr:pic>
      <xdr:nvPicPr>
        <xdr:cNvPr id="241" name="Picture 1">
          <a:extLst>
            <a:ext uri="{FF2B5EF4-FFF2-40B4-BE49-F238E27FC236}">
              <a16:creationId xmlns:a16="http://schemas.microsoft.com/office/drawing/2014/main" id="{CEBF7256-86DE-416E-B848-7534A5AC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648777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2848-4FBE-42CE-825B-1005B78E5040}">
  <dimension ref="A1:S113"/>
  <sheetViews>
    <sheetView tabSelected="1" workbookViewId="0">
      <selection activeCell="U11" sqref="U11"/>
    </sheetView>
  </sheetViews>
  <sheetFormatPr baseColWidth="10" defaultRowHeight="15" x14ac:dyDescent="0.25"/>
  <cols>
    <col min="1" max="1" width="7.28515625" customWidth="1"/>
    <col min="2" max="2" width="37.5703125" customWidth="1"/>
  </cols>
  <sheetData>
    <row r="1" spans="1:19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19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x14ac:dyDescent="0.2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19" x14ac:dyDescent="0.25">
      <c r="A4" s="132" t="s">
        <v>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ht="15.75" thickBot="1" x14ac:dyDescent="0.3">
      <c r="A5" s="133" t="s">
        <v>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</row>
    <row r="6" spans="1:19" ht="96.75" thickBot="1" x14ac:dyDescent="0.3">
      <c r="A6" s="1" t="s">
        <v>5</v>
      </c>
      <c r="B6" s="2" t="s">
        <v>6</v>
      </c>
      <c r="C6" s="3" t="s">
        <v>7</v>
      </c>
      <c r="D6" s="4" t="s">
        <v>8</v>
      </c>
      <c r="E6" s="4" t="s">
        <v>9</v>
      </c>
      <c r="F6" s="5" t="s">
        <v>10</v>
      </c>
      <c r="G6" s="6" t="s">
        <v>11</v>
      </c>
      <c r="H6" s="3" t="s">
        <v>12</v>
      </c>
      <c r="I6" s="5" t="s">
        <v>13</v>
      </c>
      <c r="J6" s="3" t="s">
        <v>14</v>
      </c>
      <c r="K6" s="7" t="s">
        <v>15</v>
      </c>
      <c r="L6" s="3" t="s">
        <v>16</v>
      </c>
      <c r="M6" s="3" t="s">
        <v>17</v>
      </c>
      <c r="N6" s="8" t="s">
        <v>18</v>
      </c>
      <c r="O6" s="9" t="s">
        <v>19</v>
      </c>
      <c r="P6" s="7" t="s">
        <v>20</v>
      </c>
      <c r="Q6" s="10" t="s">
        <v>21</v>
      </c>
      <c r="R6" s="10" t="s">
        <v>22</v>
      </c>
      <c r="S6" s="11" t="s">
        <v>23</v>
      </c>
    </row>
    <row r="7" spans="1:19" ht="15.75" thickBot="1" x14ac:dyDescent="0.3">
      <c r="A7" s="134" t="s">
        <v>24</v>
      </c>
      <c r="B7" s="135"/>
      <c r="C7" s="12">
        <f>C8+C103</f>
        <v>2919132</v>
      </c>
      <c r="D7" s="12">
        <f>D8+D105</f>
        <v>0</v>
      </c>
      <c r="E7" s="13">
        <f>E8+E103</f>
        <v>2919132</v>
      </c>
      <c r="F7" s="115">
        <v>0</v>
      </c>
      <c r="G7" s="14">
        <f t="shared" ref="G7:P7" si="0">G8+G103</f>
        <v>2919132</v>
      </c>
      <c r="H7" s="14">
        <f>H8+H103</f>
        <v>915350</v>
      </c>
      <c r="I7" s="12">
        <f t="shared" si="0"/>
        <v>146865.60000000001</v>
      </c>
      <c r="J7" s="12">
        <f>J8+J103</f>
        <v>294258.61999999994</v>
      </c>
      <c r="K7" s="12">
        <f t="shared" si="0"/>
        <v>513927.89999999997</v>
      </c>
      <c r="L7" s="12">
        <f>L8+L103</f>
        <v>548287.70000000007</v>
      </c>
      <c r="M7" s="12">
        <f t="shared" si="0"/>
        <v>2003782</v>
      </c>
      <c r="N7" s="12">
        <f t="shared" si="0"/>
        <v>2405204.0999999996</v>
      </c>
      <c r="O7" s="13">
        <f t="shared" si="0"/>
        <v>244400.59</v>
      </c>
      <c r="P7" s="12">
        <f t="shared" si="0"/>
        <v>269527.31</v>
      </c>
      <c r="Q7" s="15">
        <f>SUM(K7/H7*100%)</f>
        <v>0.56145507183044729</v>
      </c>
      <c r="R7" s="15">
        <f t="shared" ref="R7:R16" si="1">SUM(J7/G7*100%)</f>
        <v>0.10080346486558331</v>
      </c>
      <c r="S7" s="15">
        <f t="shared" ref="S7:S16" si="2">SUM(K7/G7*100%)</f>
        <v>0.17605503964877228</v>
      </c>
    </row>
    <row r="8" spans="1:19" ht="15.75" thickBot="1" x14ac:dyDescent="0.3">
      <c r="A8" s="129" t="s">
        <v>25</v>
      </c>
      <c r="B8" s="130"/>
      <c r="C8" s="16">
        <f>C9+C20+C54+C88+C96</f>
        <v>2869132</v>
      </c>
      <c r="D8" s="16">
        <f>D9+D20+D54+D88+D96+D103</f>
        <v>0</v>
      </c>
      <c r="E8" s="17">
        <f>E9+E20+E54+E88+E96</f>
        <v>2869132</v>
      </c>
      <c r="F8" s="116">
        <f>F9+F20+F54+F88+F96+F103</f>
        <v>0</v>
      </c>
      <c r="G8" s="18">
        <f t="shared" ref="G8:P8" si="3">G9+G20+G54+G88+G96</f>
        <v>2869132</v>
      </c>
      <c r="H8" s="18">
        <f t="shared" si="3"/>
        <v>915350</v>
      </c>
      <c r="I8" s="16">
        <f t="shared" si="3"/>
        <v>146865.60000000001</v>
      </c>
      <c r="J8" s="16">
        <f>J9+J20+J54+J88+J96</f>
        <v>294258.61999999994</v>
      </c>
      <c r="K8" s="16">
        <f>K9+K20+K54+K88+K96</f>
        <v>513927.89999999997</v>
      </c>
      <c r="L8" s="16">
        <f t="shared" si="3"/>
        <v>548287.70000000007</v>
      </c>
      <c r="M8" s="16">
        <f t="shared" si="3"/>
        <v>1953782</v>
      </c>
      <c r="N8" s="16">
        <f>N9+N20+N54+N88+N96</f>
        <v>2355204.0999999996</v>
      </c>
      <c r="O8" s="17">
        <f t="shared" si="3"/>
        <v>244400.59</v>
      </c>
      <c r="P8" s="16">
        <f t="shared" si="3"/>
        <v>269527.31</v>
      </c>
      <c r="Q8" s="15">
        <f t="shared" ref="Q8:Q16" si="4">SUM(K8/H8*100%)</f>
        <v>0.56145507183044729</v>
      </c>
      <c r="R8" s="19">
        <f t="shared" si="1"/>
        <v>0.10256015408144342</v>
      </c>
      <c r="S8" s="19">
        <f t="shared" si="2"/>
        <v>0.1791231285280705</v>
      </c>
    </row>
    <row r="9" spans="1:19" ht="18.75" customHeight="1" thickBot="1" x14ac:dyDescent="0.3">
      <c r="A9" s="20">
        <v>0</v>
      </c>
      <c r="B9" s="21" t="s">
        <v>26</v>
      </c>
      <c r="C9" s="22">
        <f>SUM(C10:C19)</f>
        <v>2156795</v>
      </c>
      <c r="D9" s="23">
        <f>SUM(D10:D19)</f>
        <v>0</v>
      </c>
      <c r="E9" s="24">
        <f>SUM(E10:E19)</f>
        <v>2156795</v>
      </c>
      <c r="F9" s="117">
        <f>SUM(F10:F19)</f>
        <v>0</v>
      </c>
      <c r="G9" s="23">
        <f t="shared" ref="G9:M9" si="5">SUM(G10:G19)</f>
        <v>2156795</v>
      </c>
      <c r="H9" s="23">
        <f t="shared" si="5"/>
        <v>340469</v>
      </c>
      <c r="I9" s="23">
        <f t="shared" si="5"/>
        <v>0</v>
      </c>
      <c r="J9" s="23">
        <f>SUM(J10:J19)</f>
        <v>267110.57999999996</v>
      </c>
      <c r="K9" s="23">
        <f t="shared" si="5"/>
        <v>302645.58</v>
      </c>
      <c r="L9" s="23">
        <f>SUM(L10:L19)</f>
        <v>37823.42</v>
      </c>
      <c r="M9" s="23">
        <f t="shared" si="5"/>
        <v>1816326</v>
      </c>
      <c r="N9" s="23">
        <f>SUM(N10:N19)</f>
        <v>1854149.42</v>
      </c>
      <c r="O9" s="24">
        <f>SUM(O10:O19)</f>
        <v>244301.4</v>
      </c>
      <c r="P9" s="22">
        <f>SUM(P10:P19)</f>
        <v>58344.18</v>
      </c>
      <c r="Q9" s="25">
        <f t="shared" si="4"/>
        <v>0.88890788882394589</v>
      </c>
      <c r="R9" s="26">
        <f t="shared" si="1"/>
        <v>0.12384606789240514</v>
      </c>
      <c r="S9" s="26">
        <f t="shared" si="2"/>
        <v>0.14032190356524379</v>
      </c>
    </row>
    <row r="10" spans="1:19" x14ac:dyDescent="0.25">
      <c r="A10" s="27">
        <v>1</v>
      </c>
      <c r="B10" s="28" t="s">
        <v>27</v>
      </c>
      <c r="C10" s="29">
        <v>1760820</v>
      </c>
      <c r="D10" s="30">
        <v>0</v>
      </c>
      <c r="E10" s="31">
        <v>1760820</v>
      </c>
      <c r="F10" s="29">
        <v>0</v>
      </c>
      <c r="G10" s="32">
        <f>SUM(E10+F10)</f>
        <v>1760820</v>
      </c>
      <c r="H10" s="33">
        <f>130000+136000</f>
        <v>266000</v>
      </c>
      <c r="I10" s="32">
        <v>0</v>
      </c>
      <c r="J10" s="29">
        <f>116400+112700</f>
        <v>229100</v>
      </c>
      <c r="K10" s="29">
        <f>130000+133135</f>
        <v>263135</v>
      </c>
      <c r="L10" s="34">
        <f t="shared" ref="L10:L19" si="6">SUM(H10-K10)</f>
        <v>2865</v>
      </c>
      <c r="M10" s="34">
        <f t="shared" ref="M10:M19" si="7">SUM(G10-H10)</f>
        <v>1494820</v>
      </c>
      <c r="N10" s="34">
        <f>SUM(-I10+L10+M10)</f>
        <v>1497685</v>
      </c>
      <c r="O10" s="31">
        <f>94702.38+113466.05</f>
        <v>208168.43</v>
      </c>
      <c r="P10" s="35">
        <f>K10-O10</f>
        <v>54966.570000000007</v>
      </c>
      <c r="Q10" s="36">
        <f>SUM(K10/H10*100%)</f>
        <v>0.98922932330827062</v>
      </c>
      <c r="R10" s="36">
        <f>SUM(J10/G10*100%)</f>
        <v>0.13010983519042266</v>
      </c>
      <c r="S10" s="36">
        <f t="shared" si="2"/>
        <v>0.14943889778625868</v>
      </c>
    </row>
    <row r="11" spans="1:19" x14ac:dyDescent="0.25">
      <c r="A11" s="27" t="s">
        <v>28</v>
      </c>
      <c r="B11" s="28" t="s">
        <v>29</v>
      </c>
      <c r="C11" s="29">
        <v>54000</v>
      </c>
      <c r="D11" s="30">
        <v>0</v>
      </c>
      <c r="E11" s="31">
        <v>54000</v>
      </c>
      <c r="F11" s="29">
        <v>0</v>
      </c>
      <c r="G11" s="32">
        <f t="shared" ref="G11:G19" si="8">SUM(E11+F11)</f>
        <v>54000</v>
      </c>
      <c r="H11" s="33">
        <f>4500+4500</f>
        <v>9000</v>
      </c>
      <c r="I11" s="32">
        <v>0</v>
      </c>
      <c r="J11" s="29">
        <f>3000+3000</f>
        <v>6000</v>
      </c>
      <c r="K11" s="29">
        <f>4500+3000</f>
        <v>7500</v>
      </c>
      <c r="L11" s="34">
        <f t="shared" si="6"/>
        <v>1500</v>
      </c>
      <c r="M11" s="34">
        <f t="shared" si="7"/>
        <v>45000</v>
      </c>
      <c r="N11" s="34">
        <f>SUM(-I11+L11+M11)</f>
        <v>46500</v>
      </c>
      <c r="O11" s="31">
        <f>2361.66+3000</f>
        <v>5361.66</v>
      </c>
      <c r="P11" s="35">
        <f t="shared" ref="P11:P74" si="9">K11-O11</f>
        <v>2138.34</v>
      </c>
      <c r="Q11" s="36">
        <f t="shared" si="4"/>
        <v>0.83333333333333337</v>
      </c>
      <c r="R11" s="36">
        <f t="shared" si="1"/>
        <v>0.1111111111111111</v>
      </c>
      <c r="S11" s="36">
        <f t="shared" si="2"/>
        <v>0.1388888888888889</v>
      </c>
    </row>
    <row r="12" spans="1:19" x14ac:dyDescent="0.25">
      <c r="A12" s="37" t="s">
        <v>30</v>
      </c>
      <c r="B12" s="28" t="s">
        <v>31</v>
      </c>
      <c r="C12" s="29">
        <v>49500</v>
      </c>
      <c r="D12" s="30">
        <v>0</v>
      </c>
      <c r="E12" s="31">
        <v>49500</v>
      </c>
      <c r="F12" s="29">
        <v>0</v>
      </c>
      <c r="G12" s="32">
        <f t="shared" si="8"/>
        <v>49500</v>
      </c>
      <c r="H12" s="33">
        <f>16500</f>
        <v>16500</v>
      </c>
      <c r="I12" s="32">
        <v>0</v>
      </c>
      <c r="J12" s="38">
        <f>12472.56</f>
        <v>12472.56</v>
      </c>
      <c r="K12" s="38">
        <f>12472.56</f>
        <v>12472.56</v>
      </c>
      <c r="L12" s="34">
        <f t="shared" si="6"/>
        <v>4027.4400000000005</v>
      </c>
      <c r="M12" s="34">
        <f t="shared" si="7"/>
        <v>33000</v>
      </c>
      <c r="N12" s="34">
        <f t="shared" ref="N12:N19" si="10">SUM(-I12+L12+M12)</f>
        <v>37027.440000000002</v>
      </c>
      <c r="O12" s="39">
        <f>11568.39</f>
        <v>11568.39</v>
      </c>
      <c r="P12" s="35">
        <f t="shared" si="9"/>
        <v>904.17000000000007</v>
      </c>
      <c r="Q12" s="36">
        <f t="shared" si="4"/>
        <v>0.75591272727272729</v>
      </c>
      <c r="R12" s="36">
        <f t="shared" si="1"/>
        <v>0.25197090909090908</v>
      </c>
      <c r="S12" s="36">
        <f t="shared" si="2"/>
        <v>0.25197090909090908</v>
      </c>
    </row>
    <row r="13" spans="1:19" x14ac:dyDescent="0.25">
      <c r="A13" s="27" t="s">
        <v>32</v>
      </c>
      <c r="B13" s="28" t="s">
        <v>33</v>
      </c>
      <c r="C13" s="29">
        <v>232047</v>
      </c>
      <c r="D13" s="30">
        <v>0</v>
      </c>
      <c r="E13" s="31">
        <v>232047</v>
      </c>
      <c r="F13" s="29">
        <v>0</v>
      </c>
      <c r="G13" s="32">
        <f t="shared" si="8"/>
        <v>232047</v>
      </c>
      <c r="H13" s="33">
        <f>19337+19337</f>
        <v>38674</v>
      </c>
      <c r="I13" s="32">
        <v>0</v>
      </c>
      <c r="J13" s="38">
        <f>14357.02</f>
        <v>14357.02</v>
      </c>
      <c r="K13" s="38">
        <f>14357.02</f>
        <v>14357.02</v>
      </c>
      <c r="L13" s="34">
        <f t="shared" si="6"/>
        <v>24316.98</v>
      </c>
      <c r="M13" s="34">
        <f t="shared" si="7"/>
        <v>193373</v>
      </c>
      <c r="N13" s="34">
        <f t="shared" si="10"/>
        <v>217689.98</v>
      </c>
      <c r="O13" s="39">
        <f>14357.02</f>
        <v>14357.02</v>
      </c>
      <c r="P13" s="35">
        <f t="shared" si="9"/>
        <v>0</v>
      </c>
      <c r="Q13" s="36">
        <f t="shared" si="4"/>
        <v>0.37123183534157317</v>
      </c>
      <c r="R13" s="36">
        <f t="shared" si="1"/>
        <v>6.1871172650368247E-2</v>
      </c>
      <c r="S13" s="36">
        <f t="shared" si="2"/>
        <v>6.1871172650368247E-2</v>
      </c>
    </row>
    <row r="14" spans="1:19" x14ac:dyDescent="0.25">
      <c r="A14" s="27" t="s">
        <v>34</v>
      </c>
      <c r="B14" s="28" t="s">
        <v>35</v>
      </c>
      <c r="C14" s="29">
        <v>26952</v>
      </c>
      <c r="D14" s="30">
        <v>0</v>
      </c>
      <c r="E14" s="31">
        <v>26952</v>
      </c>
      <c r="F14" s="29">
        <v>0</v>
      </c>
      <c r="G14" s="32">
        <f t="shared" si="8"/>
        <v>26952</v>
      </c>
      <c r="H14" s="33">
        <f>2246+2246</f>
        <v>4492</v>
      </c>
      <c r="I14" s="32">
        <v>0</v>
      </c>
      <c r="J14" s="38">
        <f>1713</f>
        <v>1713</v>
      </c>
      <c r="K14" s="38">
        <f>1713</f>
        <v>1713</v>
      </c>
      <c r="L14" s="34">
        <f t="shared" si="6"/>
        <v>2779</v>
      </c>
      <c r="M14" s="34">
        <f t="shared" si="7"/>
        <v>22460</v>
      </c>
      <c r="N14" s="34">
        <f t="shared" si="10"/>
        <v>25239</v>
      </c>
      <c r="O14" s="39">
        <f>1713</f>
        <v>1713</v>
      </c>
      <c r="P14" s="35">
        <f t="shared" si="9"/>
        <v>0</v>
      </c>
      <c r="Q14" s="36">
        <f t="shared" si="4"/>
        <v>0.38134461264470171</v>
      </c>
      <c r="R14" s="36">
        <f t="shared" si="1"/>
        <v>6.3557435440783613E-2</v>
      </c>
      <c r="S14" s="36">
        <f t="shared" si="2"/>
        <v>6.3557435440783613E-2</v>
      </c>
    </row>
    <row r="15" spans="1:19" x14ac:dyDescent="0.25">
      <c r="A15" s="27" t="s">
        <v>36</v>
      </c>
      <c r="B15" s="28" t="s">
        <v>37</v>
      </c>
      <c r="C15" s="29">
        <v>28086</v>
      </c>
      <c r="D15" s="30">
        <v>0</v>
      </c>
      <c r="E15" s="31">
        <v>28086</v>
      </c>
      <c r="F15" s="29">
        <v>0</v>
      </c>
      <c r="G15" s="32">
        <f t="shared" si="8"/>
        <v>28086</v>
      </c>
      <c r="H15" s="33">
        <f>2340+2340</f>
        <v>4680</v>
      </c>
      <c r="I15" s="32">
        <v>0</v>
      </c>
      <c r="J15" s="38">
        <f>2461.2</f>
        <v>2461.1999999999998</v>
      </c>
      <c r="K15" s="38">
        <f>2461.2</f>
        <v>2461.1999999999998</v>
      </c>
      <c r="L15" s="34">
        <f t="shared" si="6"/>
        <v>2218.8000000000002</v>
      </c>
      <c r="M15" s="34">
        <f t="shared" si="7"/>
        <v>23406</v>
      </c>
      <c r="N15" s="34">
        <f t="shared" si="10"/>
        <v>25624.799999999999</v>
      </c>
      <c r="O15" s="39">
        <f>2461.2</f>
        <v>2461.1999999999998</v>
      </c>
      <c r="P15" s="35">
        <f t="shared" si="9"/>
        <v>0</v>
      </c>
      <c r="Q15" s="36">
        <f t="shared" si="4"/>
        <v>0.52589743589743587</v>
      </c>
      <c r="R15" s="36">
        <f t="shared" si="1"/>
        <v>8.7630848109378337E-2</v>
      </c>
      <c r="S15" s="36">
        <f t="shared" si="2"/>
        <v>8.7630848109378337E-2</v>
      </c>
    </row>
    <row r="16" spans="1:19" x14ac:dyDescent="0.25">
      <c r="A16" s="27" t="s">
        <v>38</v>
      </c>
      <c r="B16" s="28" t="s">
        <v>39</v>
      </c>
      <c r="C16" s="29">
        <v>5390</v>
      </c>
      <c r="D16" s="30">
        <v>0</v>
      </c>
      <c r="E16" s="31">
        <v>5390</v>
      </c>
      <c r="F16" s="29">
        <v>-327</v>
      </c>
      <c r="G16" s="32">
        <f t="shared" si="8"/>
        <v>5063</v>
      </c>
      <c r="H16" s="33">
        <f>449+347</f>
        <v>796</v>
      </c>
      <c r="I16" s="32">
        <v>0</v>
      </c>
      <c r="J16" s="29">
        <f>345.45+335.1</f>
        <v>680.55</v>
      </c>
      <c r="K16" s="29">
        <f>345.45+335.1</f>
        <v>680.55</v>
      </c>
      <c r="L16" s="34">
        <f t="shared" si="6"/>
        <v>115.45000000000005</v>
      </c>
      <c r="M16" s="34">
        <f t="shared" si="7"/>
        <v>4267</v>
      </c>
      <c r="N16" s="34">
        <f t="shared" si="10"/>
        <v>4382.45</v>
      </c>
      <c r="O16" s="39">
        <f>345.45</f>
        <v>345.45</v>
      </c>
      <c r="P16" s="35">
        <f t="shared" si="9"/>
        <v>335.09999999999997</v>
      </c>
      <c r="Q16" s="36">
        <f t="shared" si="4"/>
        <v>0.8549623115577889</v>
      </c>
      <c r="R16" s="36">
        <f t="shared" si="1"/>
        <v>0.13441635394035156</v>
      </c>
      <c r="S16" s="36">
        <f t="shared" si="2"/>
        <v>0.13441635394035156</v>
      </c>
    </row>
    <row r="17" spans="1:19" x14ac:dyDescent="0.25">
      <c r="A17" s="37" t="s">
        <v>40</v>
      </c>
      <c r="B17" s="28" t="s">
        <v>41</v>
      </c>
      <c r="C17" s="40">
        <v>0</v>
      </c>
      <c r="D17" s="30">
        <v>0</v>
      </c>
      <c r="E17" s="41">
        <v>0</v>
      </c>
      <c r="F17" s="40"/>
      <c r="G17" s="32">
        <f t="shared" si="8"/>
        <v>0</v>
      </c>
      <c r="H17" s="33">
        <f>SUM(F17+G17)</f>
        <v>0</v>
      </c>
      <c r="I17" s="32">
        <v>0</v>
      </c>
      <c r="J17" s="32">
        <v>0</v>
      </c>
      <c r="K17" s="29"/>
      <c r="L17" s="34">
        <f t="shared" si="6"/>
        <v>0</v>
      </c>
      <c r="M17" s="34">
        <f t="shared" si="7"/>
        <v>0</v>
      </c>
      <c r="N17" s="34">
        <f t="shared" si="10"/>
        <v>0</v>
      </c>
      <c r="O17" s="39">
        <v>0</v>
      </c>
      <c r="P17" s="35">
        <f t="shared" si="9"/>
        <v>0</v>
      </c>
      <c r="Q17" s="36">
        <v>0</v>
      </c>
      <c r="R17" s="36">
        <v>0</v>
      </c>
      <c r="S17" s="36">
        <v>0</v>
      </c>
    </row>
    <row r="18" spans="1:19" x14ac:dyDescent="0.25">
      <c r="A18" s="37" t="s">
        <v>42</v>
      </c>
      <c r="B18" s="28" t="s">
        <v>43</v>
      </c>
      <c r="C18" s="40">
        <v>0</v>
      </c>
      <c r="D18" s="30">
        <v>0</v>
      </c>
      <c r="E18" s="41">
        <v>0</v>
      </c>
      <c r="F18" s="40"/>
      <c r="G18" s="32">
        <f t="shared" si="8"/>
        <v>0</v>
      </c>
      <c r="H18" s="33">
        <f>SUM(F18+G18)</f>
        <v>0</v>
      </c>
      <c r="I18" s="32">
        <v>0</v>
      </c>
      <c r="J18" s="32">
        <v>0</v>
      </c>
      <c r="K18" s="29"/>
      <c r="L18" s="34">
        <f t="shared" si="6"/>
        <v>0</v>
      </c>
      <c r="M18" s="34">
        <f t="shared" si="7"/>
        <v>0</v>
      </c>
      <c r="N18" s="34">
        <f t="shared" si="10"/>
        <v>0</v>
      </c>
      <c r="O18" s="39">
        <v>0</v>
      </c>
      <c r="P18" s="35">
        <f t="shared" si="9"/>
        <v>0</v>
      </c>
      <c r="Q18" s="36">
        <v>0</v>
      </c>
      <c r="R18" s="36">
        <v>0</v>
      </c>
      <c r="S18" s="36">
        <v>0</v>
      </c>
    </row>
    <row r="19" spans="1:19" ht="15.75" thickBot="1" x14ac:dyDescent="0.3">
      <c r="A19" s="37" t="s">
        <v>44</v>
      </c>
      <c r="B19" s="42" t="s">
        <v>45</v>
      </c>
      <c r="C19" s="40">
        <v>0</v>
      </c>
      <c r="D19" s="30">
        <v>0</v>
      </c>
      <c r="E19" s="41">
        <v>0</v>
      </c>
      <c r="F19" s="40">
        <v>327</v>
      </c>
      <c r="G19" s="32">
        <f t="shared" si="8"/>
        <v>327</v>
      </c>
      <c r="H19" s="33">
        <f>327</f>
        <v>327</v>
      </c>
      <c r="I19" s="32">
        <v>0</v>
      </c>
      <c r="J19" s="32">
        <f>326.25</f>
        <v>326.25</v>
      </c>
      <c r="K19" s="29">
        <f>326.25</f>
        <v>326.25</v>
      </c>
      <c r="L19" s="34">
        <f t="shared" si="6"/>
        <v>0.75</v>
      </c>
      <c r="M19" s="34">
        <f t="shared" si="7"/>
        <v>0</v>
      </c>
      <c r="N19" s="34">
        <f t="shared" si="10"/>
        <v>0.75</v>
      </c>
      <c r="O19" s="39">
        <f>326.25</f>
        <v>326.25</v>
      </c>
      <c r="P19" s="35">
        <f t="shared" si="9"/>
        <v>0</v>
      </c>
      <c r="Q19" s="36">
        <f>SUM(K19/H19*100%)</f>
        <v>0.99770642201834858</v>
      </c>
      <c r="R19" s="36">
        <f>SUM(J19/G19*100%)</f>
        <v>0.99770642201834858</v>
      </c>
      <c r="S19" s="36">
        <v>0</v>
      </c>
    </row>
    <row r="20" spans="1:19" ht="15.75" thickBot="1" x14ac:dyDescent="0.3">
      <c r="A20" s="43">
        <v>1</v>
      </c>
      <c r="B20" s="44" t="s">
        <v>46</v>
      </c>
      <c r="C20" s="45">
        <f>SUM(C21:C53)</f>
        <v>392425</v>
      </c>
      <c r="D20" s="46">
        <f>SUM(D21:D53)</f>
        <v>0</v>
      </c>
      <c r="E20" s="47">
        <f>SUM(E21:E53)</f>
        <v>392425</v>
      </c>
      <c r="F20" s="118">
        <f>SUM(F21:F53)</f>
        <v>65452</v>
      </c>
      <c r="G20" s="46">
        <f>SUM(G21:G53)</f>
        <v>457877</v>
      </c>
      <c r="H20" s="46">
        <f t="shared" ref="H20:M20" si="11">SUM(H21:H53)</f>
        <v>323921</v>
      </c>
      <c r="I20" s="46">
        <f t="shared" si="11"/>
        <v>146865.60000000001</v>
      </c>
      <c r="J20" s="46">
        <f t="shared" si="11"/>
        <v>18576.310000000001</v>
      </c>
      <c r="K20" s="46">
        <f>SUM(K21:K53)</f>
        <v>201441.90999999997</v>
      </c>
      <c r="L20" s="46">
        <f t="shared" si="11"/>
        <v>269344.69000000006</v>
      </c>
      <c r="M20" s="46">
        <f t="shared" si="11"/>
        <v>133956</v>
      </c>
      <c r="N20" s="46">
        <f>SUM(N21:N53)</f>
        <v>256435.09</v>
      </c>
      <c r="O20" s="47">
        <f>SUM(O21:O53)</f>
        <v>99.19</v>
      </c>
      <c r="P20" s="45">
        <f>SUM(P21:P53)</f>
        <v>201342.72</v>
      </c>
      <c r="Q20" s="25">
        <f>SUM(K20/H20*100%)</f>
        <v>0.62188592280216459</v>
      </c>
      <c r="R20" s="48">
        <f>SUM(J20/G20*100%)</f>
        <v>4.0570524398473827E-2</v>
      </c>
      <c r="S20" s="48">
        <f>SUM(K20/G20*100%)</f>
        <v>0.43994764969631578</v>
      </c>
    </row>
    <row r="21" spans="1:19" x14ac:dyDescent="0.25">
      <c r="A21" s="27">
        <v>101</v>
      </c>
      <c r="B21" s="28" t="s">
        <v>47</v>
      </c>
      <c r="C21" s="29">
        <v>158000</v>
      </c>
      <c r="D21" s="30">
        <v>0</v>
      </c>
      <c r="E21" s="31">
        <v>158000</v>
      </c>
      <c r="F21" s="29">
        <v>3308</v>
      </c>
      <c r="G21" s="32">
        <f t="shared" ref="G21:G53" si="12">SUM(E21+F21)</f>
        <v>161308</v>
      </c>
      <c r="H21" s="33">
        <f>100000+61308</f>
        <v>161308</v>
      </c>
      <c r="I21" s="29">
        <f>99489.6+47376</f>
        <v>146865.60000000001</v>
      </c>
      <c r="J21" s="38">
        <v>0</v>
      </c>
      <c r="K21" s="29">
        <f>99489.6+47376</f>
        <v>146865.60000000001</v>
      </c>
      <c r="L21" s="34">
        <f>SUM(H21-K21+I21)</f>
        <v>161308</v>
      </c>
      <c r="M21" s="34">
        <f t="shared" ref="M21:M53" si="13">SUM(G21-H21)</f>
        <v>0</v>
      </c>
      <c r="N21" s="34">
        <f t="shared" ref="N21:N53" si="14">SUM(-I21+L21+M21)</f>
        <v>14442.399999999994</v>
      </c>
      <c r="O21" s="39">
        <v>0</v>
      </c>
      <c r="P21" s="35">
        <f t="shared" si="9"/>
        <v>146865.60000000001</v>
      </c>
      <c r="Q21" s="36">
        <f>SUM(K21/H21*100%)</f>
        <v>0.91046693282416247</v>
      </c>
      <c r="R21" s="36">
        <f>SUM(J21/G21*100%)</f>
        <v>0</v>
      </c>
      <c r="S21" s="36">
        <f>SUM(K21/G21*100%)</f>
        <v>0.91046693282416247</v>
      </c>
    </row>
    <row r="22" spans="1:19" x14ac:dyDescent="0.25">
      <c r="A22" s="27">
        <v>102</v>
      </c>
      <c r="B22" s="28" t="s">
        <v>48</v>
      </c>
      <c r="C22" s="29">
        <v>12000</v>
      </c>
      <c r="D22" s="30">
        <v>0</v>
      </c>
      <c r="E22" s="31">
        <v>12000</v>
      </c>
      <c r="F22" s="29">
        <v>0</v>
      </c>
      <c r="G22" s="32">
        <f t="shared" si="12"/>
        <v>12000</v>
      </c>
      <c r="H22" s="49">
        <f>2000</f>
        <v>2000</v>
      </c>
      <c r="I22" s="32">
        <v>0</v>
      </c>
      <c r="J22" s="38">
        <v>0</v>
      </c>
      <c r="K22" s="38">
        <v>0</v>
      </c>
      <c r="L22" s="34">
        <f>SUM(H22-K22+I22)</f>
        <v>2000</v>
      </c>
      <c r="M22" s="34">
        <f t="shared" si="13"/>
        <v>10000</v>
      </c>
      <c r="N22" s="34">
        <f t="shared" si="14"/>
        <v>12000</v>
      </c>
      <c r="O22" s="39">
        <v>0</v>
      </c>
      <c r="P22" s="35">
        <f t="shared" si="9"/>
        <v>0</v>
      </c>
      <c r="Q22" s="36">
        <f>SUM(K22/H22*100%)</f>
        <v>0</v>
      </c>
      <c r="R22" s="36">
        <f>SUM(J22/G22*100%)</f>
        <v>0</v>
      </c>
      <c r="S22" s="36">
        <f>SUM(K22/G22*100%)</f>
        <v>0</v>
      </c>
    </row>
    <row r="23" spans="1:19" x14ac:dyDescent="0.25">
      <c r="A23" s="27" t="s">
        <v>49</v>
      </c>
      <c r="B23" s="28" t="s">
        <v>50</v>
      </c>
      <c r="C23" s="40">
        <v>0</v>
      </c>
      <c r="D23" s="30">
        <v>0</v>
      </c>
      <c r="E23" s="41">
        <v>0</v>
      </c>
      <c r="F23" s="40">
        <v>11895</v>
      </c>
      <c r="G23" s="32">
        <f t="shared" si="12"/>
        <v>11895</v>
      </c>
      <c r="H23" s="49">
        <f>11895</f>
        <v>11895</v>
      </c>
      <c r="I23" s="32">
        <v>0</v>
      </c>
      <c r="J23" s="38">
        <f>963</f>
        <v>963</v>
      </c>
      <c r="K23" s="38">
        <f>963</f>
        <v>963</v>
      </c>
      <c r="L23" s="34">
        <f>SUM(H23+I23-K23)</f>
        <v>10932</v>
      </c>
      <c r="M23" s="34">
        <f t="shared" si="13"/>
        <v>0</v>
      </c>
      <c r="N23" s="34">
        <f t="shared" si="14"/>
        <v>10932</v>
      </c>
      <c r="O23" s="39">
        <v>0</v>
      </c>
      <c r="P23" s="35">
        <f t="shared" si="9"/>
        <v>963</v>
      </c>
      <c r="Q23" s="36">
        <f>SUM(K23/H23*100%)</f>
        <v>8.0958385876418668E-2</v>
      </c>
      <c r="R23" s="36">
        <f>SUM(J23/G23*100%)</f>
        <v>8.0958385876418668E-2</v>
      </c>
      <c r="S23" s="36">
        <v>0</v>
      </c>
    </row>
    <row r="24" spans="1:19" x14ac:dyDescent="0.25">
      <c r="A24" s="27">
        <v>109</v>
      </c>
      <c r="B24" s="28" t="s">
        <v>51</v>
      </c>
      <c r="C24" s="40">
        <v>0</v>
      </c>
      <c r="D24" s="30">
        <v>0</v>
      </c>
      <c r="E24" s="41">
        <v>0</v>
      </c>
      <c r="F24" s="40"/>
      <c r="G24" s="32">
        <f t="shared" si="12"/>
        <v>0</v>
      </c>
      <c r="H24" s="49">
        <v>0</v>
      </c>
      <c r="I24" s="32">
        <v>0</v>
      </c>
      <c r="J24" s="38">
        <v>0</v>
      </c>
      <c r="K24" s="38">
        <v>0</v>
      </c>
      <c r="L24" s="34">
        <f t="shared" ref="L24:L53" si="15">SUM(H24-K24)</f>
        <v>0</v>
      </c>
      <c r="M24" s="34">
        <f t="shared" si="13"/>
        <v>0</v>
      </c>
      <c r="N24" s="34">
        <f t="shared" si="14"/>
        <v>0</v>
      </c>
      <c r="O24" s="39">
        <v>0</v>
      </c>
      <c r="P24" s="35">
        <f t="shared" si="9"/>
        <v>0</v>
      </c>
      <c r="Q24" s="36">
        <v>0</v>
      </c>
      <c r="R24" s="36">
        <v>0</v>
      </c>
      <c r="S24" s="36">
        <v>0</v>
      </c>
    </row>
    <row r="25" spans="1:19" x14ac:dyDescent="0.25">
      <c r="A25" s="37">
        <v>111</v>
      </c>
      <c r="B25" s="28" t="s">
        <v>52</v>
      </c>
      <c r="C25" s="29">
        <v>495</v>
      </c>
      <c r="D25" s="30">
        <v>0</v>
      </c>
      <c r="E25" s="31">
        <v>495</v>
      </c>
      <c r="F25" s="29">
        <v>0</v>
      </c>
      <c r="G25" s="32">
        <f t="shared" si="12"/>
        <v>495</v>
      </c>
      <c r="H25" s="33">
        <f>50+50</f>
        <v>100</v>
      </c>
      <c r="I25" s="32">
        <v>0</v>
      </c>
      <c r="J25" s="38">
        <f>27.3</f>
        <v>27.3</v>
      </c>
      <c r="K25" s="38">
        <f>27.3</f>
        <v>27.3</v>
      </c>
      <c r="L25" s="34">
        <f t="shared" si="15"/>
        <v>72.7</v>
      </c>
      <c r="M25" s="34">
        <f t="shared" si="13"/>
        <v>395</v>
      </c>
      <c r="N25" s="34">
        <f t="shared" si="14"/>
        <v>467.7</v>
      </c>
      <c r="O25" s="39">
        <v>0</v>
      </c>
      <c r="P25" s="35">
        <f t="shared" si="9"/>
        <v>27.3</v>
      </c>
      <c r="Q25" s="36">
        <f t="shared" ref="Q25:Q32" si="16">SUM(K25/H25*100%)</f>
        <v>0.27300000000000002</v>
      </c>
      <c r="R25" s="36">
        <f t="shared" ref="R25:R32" si="17">SUM(J25/G25*100%)</f>
        <v>5.5151515151515153E-2</v>
      </c>
      <c r="S25" s="36">
        <f t="shared" ref="S25:S32" si="18">SUM(K25/G25*100%)</f>
        <v>5.5151515151515153E-2</v>
      </c>
    </row>
    <row r="26" spans="1:19" x14ac:dyDescent="0.25">
      <c r="A26" s="27" t="s">
        <v>53</v>
      </c>
      <c r="B26" s="28" t="s">
        <v>54</v>
      </c>
      <c r="C26" s="29">
        <v>500</v>
      </c>
      <c r="D26" s="30">
        <v>0</v>
      </c>
      <c r="E26" s="31">
        <v>500</v>
      </c>
      <c r="F26" s="29">
        <v>0</v>
      </c>
      <c r="G26" s="32">
        <f t="shared" si="12"/>
        <v>500</v>
      </c>
      <c r="H26" s="33">
        <f>20+50</f>
        <v>70</v>
      </c>
      <c r="I26" s="32">
        <v>0</v>
      </c>
      <c r="J26" s="38">
        <v>0</v>
      </c>
      <c r="K26" s="38">
        <v>0</v>
      </c>
      <c r="L26" s="34">
        <f t="shared" si="15"/>
        <v>70</v>
      </c>
      <c r="M26" s="34">
        <f t="shared" si="13"/>
        <v>430</v>
      </c>
      <c r="N26" s="34">
        <f t="shared" si="14"/>
        <v>500</v>
      </c>
      <c r="O26" s="39">
        <v>0</v>
      </c>
      <c r="P26" s="35">
        <f t="shared" si="9"/>
        <v>0</v>
      </c>
      <c r="Q26" s="36">
        <f t="shared" si="16"/>
        <v>0</v>
      </c>
      <c r="R26" s="36">
        <f t="shared" si="17"/>
        <v>0</v>
      </c>
      <c r="S26" s="36">
        <f t="shared" si="18"/>
        <v>0</v>
      </c>
    </row>
    <row r="27" spans="1:19" x14ac:dyDescent="0.25">
      <c r="A27" s="27" t="s">
        <v>55</v>
      </c>
      <c r="B27" s="28" t="s">
        <v>56</v>
      </c>
      <c r="C27" s="29">
        <v>500</v>
      </c>
      <c r="D27" s="30">
        <v>0</v>
      </c>
      <c r="E27" s="31">
        <v>500</v>
      </c>
      <c r="F27" s="29">
        <v>0</v>
      </c>
      <c r="G27" s="32">
        <f t="shared" si="12"/>
        <v>500</v>
      </c>
      <c r="H27" s="33">
        <f>50+50</f>
        <v>100</v>
      </c>
      <c r="I27" s="32">
        <v>0</v>
      </c>
      <c r="J27" s="38">
        <v>0</v>
      </c>
      <c r="K27" s="38">
        <v>0</v>
      </c>
      <c r="L27" s="34">
        <f t="shared" si="15"/>
        <v>100</v>
      </c>
      <c r="M27" s="34">
        <f t="shared" si="13"/>
        <v>400</v>
      </c>
      <c r="N27" s="34">
        <f t="shared" si="14"/>
        <v>500</v>
      </c>
      <c r="O27" s="39">
        <v>0</v>
      </c>
      <c r="P27" s="35">
        <f t="shared" si="9"/>
        <v>0</v>
      </c>
      <c r="Q27" s="36">
        <f t="shared" si="16"/>
        <v>0</v>
      </c>
      <c r="R27" s="36">
        <f t="shared" si="17"/>
        <v>0</v>
      </c>
      <c r="S27" s="36">
        <f t="shared" si="18"/>
        <v>0</v>
      </c>
    </row>
    <row r="28" spans="1:19" x14ac:dyDescent="0.25">
      <c r="A28" s="27" t="s">
        <v>57</v>
      </c>
      <c r="B28" s="28" t="s">
        <v>58</v>
      </c>
      <c r="C28" s="29">
        <v>16339</v>
      </c>
      <c r="D28" s="30">
        <v>0</v>
      </c>
      <c r="E28" s="31">
        <v>16339</v>
      </c>
      <c r="F28" s="29">
        <v>0</v>
      </c>
      <c r="G28" s="32">
        <f t="shared" si="12"/>
        <v>16339</v>
      </c>
      <c r="H28" s="33">
        <f>1361+1361</f>
        <v>2722</v>
      </c>
      <c r="I28" s="32">
        <v>0</v>
      </c>
      <c r="J28" s="38">
        <f>1731.77</f>
        <v>1731.77</v>
      </c>
      <c r="K28" s="38">
        <f>1731.77</f>
        <v>1731.77</v>
      </c>
      <c r="L28" s="34">
        <f t="shared" si="15"/>
        <v>990.23</v>
      </c>
      <c r="M28" s="34">
        <f t="shared" si="13"/>
        <v>13617</v>
      </c>
      <c r="N28" s="34">
        <f t="shared" si="14"/>
        <v>14607.23</v>
      </c>
      <c r="O28" s="39">
        <v>0</v>
      </c>
      <c r="P28" s="35">
        <f t="shared" si="9"/>
        <v>1731.77</v>
      </c>
      <c r="Q28" s="36">
        <f t="shared" si="16"/>
        <v>0.6362123438648053</v>
      </c>
      <c r="R28" s="36">
        <f t="shared" si="17"/>
        <v>0.10598996266601383</v>
      </c>
      <c r="S28" s="36">
        <f t="shared" si="18"/>
        <v>0.10598996266601383</v>
      </c>
    </row>
    <row r="29" spans="1:19" x14ac:dyDescent="0.25">
      <c r="A29" s="27" t="s">
        <v>59</v>
      </c>
      <c r="B29" s="28" t="s">
        <v>60</v>
      </c>
      <c r="C29" s="29">
        <v>18388</v>
      </c>
      <c r="D29" s="30">
        <v>0</v>
      </c>
      <c r="E29" s="31">
        <v>18388</v>
      </c>
      <c r="F29" s="29">
        <v>0</v>
      </c>
      <c r="G29" s="32">
        <f t="shared" si="12"/>
        <v>18388</v>
      </c>
      <c r="H29" s="33">
        <f>4000+1000</f>
        <v>5000</v>
      </c>
      <c r="I29" s="32">
        <v>0</v>
      </c>
      <c r="J29" s="38">
        <f>2620.63</f>
        <v>2620.63</v>
      </c>
      <c r="K29" s="38">
        <f>2620.63</f>
        <v>2620.63</v>
      </c>
      <c r="L29" s="34">
        <f t="shared" si="15"/>
        <v>2379.37</v>
      </c>
      <c r="M29" s="34">
        <f t="shared" si="13"/>
        <v>13388</v>
      </c>
      <c r="N29" s="34">
        <f t="shared" si="14"/>
        <v>15767.369999999999</v>
      </c>
      <c r="O29" s="39">
        <v>0</v>
      </c>
      <c r="P29" s="35">
        <f t="shared" si="9"/>
        <v>2620.63</v>
      </c>
      <c r="Q29" s="36">
        <f t="shared" si="16"/>
        <v>0.52412599999999998</v>
      </c>
      <c r="R29" s="36">
        <f t="shared" si="17"/>
        <v>0.14251849031977376</v>
      </c>
      <c r="S29" s="36">
        <f t="shared" si="18"/>
        <v>0.14251849031977376</v>
      </c>
    </row>
    <row r="30" spans="1:19" x14ac:dyDescent="0.25">
      <c r="A30" s="37" t="s">
        <v>61</v>
      </c>
      <c r="B30" s="28" t="s">
        <v>62</v>
      </c>
      <c r="C30" s="29">
        <v>1003</v>
      </c>
      <c r="D30" s="30">
        <v>0</v>
      </c>
      <c r="E30" s="31">
        <v>1003</v>
      </c>
      <c r="F30" s="29">
        <v>167</v>
      </c>
      <c r="G30" s="32">
        <f t="shared" si="12"/>
        <v>1170</v>
      </c>
      <c r="H30" s="33">
        <f>1170</f>
        <v>1170</v>
      </c>
      <c r="I30" s="32">
        <v>0</v>
      </c>
      <c r="J30" s="38">
        <v>0</v>
      </c>
      <c r="K30" s="38">
        <v>0</v>
      </c>
      <c r="L30" s="34">
        <f t="shared" si="15"/>
        <v>1170</v>
      </c>
      <c r="M30" s="34">
        <f t="shared" si="13"/>
        <v>0</v>
      </c>
      <c r="N30" s="34">
        <f t="shared" si="14"/>
        <v>1170</v>
      </c>
      <c r="O30" s="39">
        <v>0</v>
      </c>
      <c r="P30" s="35">
        <f t="shared" si="9"/>
        <v>0</v>
      </c>
      <c r="Q30" s="36">
        <f t="shared" si="16"/>
        <v>0</v>
      </c>
      <c r="R30" s="36">
        <f t="shared" si="17"/>
        <v>0</v>
      </c>
      <c r="S30" s="36">
        <f t="shared" si="18"/>
        <v>0</v>
      </c>
    </row>
    <row r="31" spans="1:19" x14ac:dyDescent="0.25">
      <c r="A31" s="37">
        <v>117</v>
      </c>
      <c r="B31" s="28" t="s">
        <v>63</v>
      </c>
      <c r="C31" s="29">
        <v>1926</v>
      </c>
      <c r="D31" s="30">
        <v>0</v>
      </c>
      <c r="E31" s="31">
        <v>1926</v>
      </c>
      <c r="F31" s="29">
        <v>-167</v>
      </c>
      <c r="G31" s="32">
        <f t="shared" si="12"/>
        <v>1759</v>
      </c>
      <c r="H31" s="33">
        <f>1926-167</f>
        <v>1759</v>
      </c>
      <c r="I31" s="32">
        <v>0</v>
      </c>
      <c r="J31" s="29">
        <v>1733.4</v>
      </c>
      <c r="K31" s="29">
        <v>1733.4</v>
      </c>
      <c r="L31" s="34">
        <f t="shared" si="15"/>
        <v>25.599999999999909</v>
      </c>
      <c r="M31" s="34">
        <f t="shared" si="13"/>
        <v>0</v>
      </c>
      <c r="N31" s="34">
        <f t="shared" si="14"/>
        <v>25.599999999999909</v>
      </c>
      <c r="O31" s="39">
        <v>0</v>
      </c>
      <c r="P31" s="35">
        <f t="shared" si="9"/>
        <v>1733.4</v>
      </c>
      <c r="Q31" s="36">
        <f t="shared" si="16"/>
        <v>0.98544627629334858</v>
      </c>
      <c r="R31" s="36">
        <f t="shared" si="17"/>
        <v>0.98544627629334858</v>
      </c>
      <c r="S31" s="36">
        <f t="shared" si="18"/>
        <v>0.98544627629334858</v>
      </c>
    </row>
    <row r="32" spans="1:19" ht="27.75" customHeight="1" x14ac:dyDescent="0.25">
      <c r="A32" s="37" t="s">
        <v>64</v>
      </c>
      <c r="B32" s="42" t="s">
        <v>65</v>
      </c>
      <c r="C32" s="29">
        <v>1425</v>
      </c>
      <c r="D32" s="30">
        <v>0</v>
      </c>
      <c r="E32" s="31">
        <v>1425</v>
      </c>
      <c r="F32" s="29">
        <v>-200</v>
      </c>
      <c r="G32" s="32">
        <f t="shared" si="12"/>
        <v>1225</v>
      </c>
      <c r="H32" s="33">
        <f>1225</f>
        <v>1225</v>
      </c>
      <c r="I32" s="32">
        <v>0</v>
      </c>
      <c r="J32" s="38">
        <v>0</v>
      </c>
      <c r="K32" s="38">
        <v>0</v>
      </c>
      <c r="L32" s="34">
        <f t="shared" si="15"/>
        <v>1225</v>
      </c>
      <c r="M32" s="34">
        <f t="shared" si="13"/>
        <v>0</v>
      </c>
      <c r="N32" s="34">
        <f t="shared" si="14"/>
        <v>1225</v>
      </c>
      <c r="O32" s="39">
        <v>0</v>
      </c>
      <c r="P32" s="35">
        <f t="shared" si="9"/>
        <v>0</v>
      </c>
      <c r="Q32" s="36">
        <f t="shared" si="16"/>
        <v>0</v>
      </c>
      <c r="R32" s="36">
        <f t="shared" si="17"/>
        <v>0</v>
      </c>
      <c r="S32" s="36">
        <f t="shared" si="18"/>
        <v>0</v>
      </c>
    </row>
    <row r="33" spans="1:19" x14ac:dyDescent="0.25">
      <c r="A33" s="37">
        <v>131</v>
      </c>
      <c r="B33" s="42" t="s">
        <v>66</v>
      </c>
      <c r="C33" s="40">
        <v>0</v>
      </c>
      <c r="D33" s="30">
        <v>0</v>
      </c>
      <c r="E33" s="41">
        <v>0</v>
      </c>
      <c r="F33" s="40"/>
      <c r="G33" s="32">
        <f t="shared" si="12"/>
        <v>0</v>
      </c>
      <c r="H33" s="49">
        <v>0</v>
      </c>
      <c r="I33" s="32">
        <v>0</v>
      </c>
      <c r="J33" s="38">
        <v>0</v>
      </c>
      <c r="K33" s="38">
        <v>0</v>
      </c>
      <c r="L33" s="34">
        <f t="shared" si="15"/>
        <v>0</v>
      </c>
      <c r="M33" s="34">
        <f t="shared" si="13"/>
        <v>0</v>
      </c>
      <c r="N33" s="34">
        <f t="shared" si="14"/>
        <v>0</v>
      </c>
      <c r="O33" s="39">
        <v>0</v>
      </c>
      <c r="P33" s="35">
        <f t="shared" si="9"/>
        <v>0</v>
      </c>
      <c r="Q33" s="36">
        <v>0</v>
      </c>
      <c r="R33" s="36">
        <v>0</v>
      </c>
      <c r="S33" s="36">
        <v>0</v>
      </c>
    </row>
    <row r="34" spans="1:19" x14ac:dyDescent="0.25">
      <c r="A34" s="27" t="s">
        <v>67</v>
      </c>
      <c r="B34" s="28" t="s">
        <v>68</v>
      </c>
      <c r="C34" s="29">
        <v>5000</v>
      </c>
      <c r="D34" s="30">
        <v>0</v>
      </c>
      <c r="E34" s="31">
        <v>5000</v>
      </c>
      <c r="F34" s="29">
        <v>37500</v>
      </c>
      <c r="G34" s="32">
        <f t="shared" si="12"/>
        <v>42500</v>
      </c>
      <c r="H34" s="33">
        <f>42500</f>
        <v>42500</v>
      </c>
      <c r="I34" s="32">
        <v>0</v>
      </c>
      <c r="J34" s="38">
        <v>0</v>
      </c>
      <c r="K34" s="38">
        <v>0</v>
      </c>
      <c r="L34" s="34">
        <f t="shared" si="15"/>
        <v>42500</v>
      </c>
      <c r="M34" s="34">
        <f t="shared" si="13"/>
        <v>0</v>
      </c>
      <c r="N34" s="34">
        <f t="shared" si="14"/>
        <v>42500</v>
      </c>
      <c r="O34" s="39">
        <v>0</v>
      </c>
      <c r="P34" s="35">
        <f t="shared" si="9"/>
        <v>0</v>
      </c>
      <c r="Q34" s="36">
        <f>SUM(K34/H34*100%)</f>
        <v>0</v>
      </c>
      <c r="R34" s="36">
        <f>SUM(J34/G34*100%)</f>
        <v>0</v>
      </c>
      <c r="S34" s="36">
        <f>SUM(K34/G34*100%)</f>
        <v>0</v>
      </c>
    </row>
    <row r="35" spans="1:19" x14ac:dyDescent="0.25">
      <c r="A35" s="27">
        <v>141</v>
      </c>
      <c r="B35" s="28" t="s">
        <v>69</v>
      </c>
      <c r="C35" s="29">
        <v>1623</v>
      </c>
      <c r="D35" s="30">
        <v>0</v>
      </c>
      <c r="E35" s="31">
        <v>1623</v>
      </c>
      <c r="F35" s="29">
        <v>2350</v>
      </c>
      <c r="G35" s="32">
        <f t="shared" si="12"/>
        <v>3973</v>
      </c>
      <c r="H35" s="33">
        <f>1623+2350</f>
        <v>3973</v>
      </c>
      <c r="I35" s="32">
        <v>0</v>
      </c>
      <c r="J35" s="38">
        <f>718</f>
        <v>718</v>
      </c>
      <c r="K35" s="38">
        <f>718</f>
        <v>718</v>
      </c>
      <c r="L35" s="34">
        <f t="shared" si="15"/>
        <v>3255</v>
      </c>
      <c r="M35" s="34">
        <f t="shared" si="13"/>
        <v>0</v>
      </c>
      <c r="N35" s="34">
        <f t="shared" si="14"/>
        <v>3255</v>
      </c>
      <c r="O35" s="39">
        <f>62</f>
        <v>62</v>
      </c>
      <c r="P35" s="35">
        <f t="shared" si="9"/>
        <v>656</v>
      </c>
      <c r="Q35" s="36">
        <f>SUM(K35/H35*100%)</f>
        <v>0.1807198590485779</v>
      </c>
      <c r="R35" s="36">
        <f>SUM(J35/G35*100%)</f>
        <v>0.1807198590485779</v>
      </c>
      <c r="S35" s="36">
        <f>SUM(K35/G35*100%)</f>
        <v>0.1807198590485779</v>
      </c>
    </row>
    <row r="36" spans="1:19" x14ac:dyDescent="0.25">
      <c r="A36" s="27" t="s">
        <v>70</v>
      </c>
      <c r="B36" s="28" t="s">
        <v>71</v>
      </c>
      <c r="C36" s="29">
        <v>1000</v>
      </c>
      <c r="D36" s="30">
        <v>0</v>
      </c>
      <c r="E36" s="31">
        <v>1000</v>
      </c>
      <c r="F36" s="29">
        <v>2000</v>
      </c>
      <c r="G36" s="32">
        <f t="shared" si="12"/>
        <v>3000</v>
      </c>
      <c r="H36" s="49">
        <f>2500</f>
        <v>2500</v>
      </c>
      <c r="I36" s="32">
        <v>0</v>
      </c>
      <c r="J36" s="38">
        <v>0</v>
      </c>
      <c r="K36" s="38">
        <v>0</v>
      </c>
      <c r="L36" s="34">
        <f t="shared" si="15"/>
        <v>2500</v>
      </c>
      <c r="M36" s="34">
        <f t="shared" si="13"/>
        <v>500</v>
      </c>
      <c r="N36" s="34">
        <f t="shared" si="14"/>
        <v>3000</v>
      </c>
      <c r="O36" s="39">
        <v>0</v>
      </c>
      <c r="P36" s="35">
        <f t="shared" si="9"/>
        <v>0</v>
      </c>
      <c r="Q36" s="36">
        <f>SUM(K36/H36*100%)</f>
        <v>0</v>
      </c>
      <c r="R36" s="36">
        <f>SUM(J36/G36*100%)</f>
        <v>0</v>
      </c>
      <c r="S36" s="36">
        <f>SUM(K36/G36*100%)</f>
        <v>0</v>
      </c>
    </row>
    <row r="37" spans="1:19" x14ac:dyDescent="0.25">
      <c r="A37" s="37" t="s">
        <v>72</v>
      </c>
      <c r="B37" s="28" t="s">
        <v>73</v>
      </c>
      <c r="C37" s="29">
        <v>3000</v>
      </c>
      <c r="D37" s="30">
        <v>0</v>
      </c>
      <c r="E37" s="31">
        <v>3000</v>
      </c>
      <c r="F37" s="29">
        <v>-1700</v>
      </c>
      <c r="G37" s="32">
        <f t="shared" si="12"/>
        <v>1300</v>
      </c>
      <c r="H37" s="33">
        <f>3000-1700</f>
        <v>1300</v>
      </c>
      <c r="I37" s="32">
        <v>0</v>
      </c>
      <c r="J37" s="38">
        <f>50</f>
        <v>50</v>
      </c>
      <c r="K37" s="38">
        <f>50</f>
        <v>50</v>
      </c>
      <c r="L37" s="34">
        <f t="shared" si="15"/>
        <v>1250</v>
      </c>
      <c r="M37" s="34">
        <f t="shared" si="13"/>
        <v>0</v>
      </c>
      <c r="N37" s="34">
        <f t="shared" si="14"/>
        <v>1250</v>
      </c>
      <c r="O37" s="39">
        <v>0</v>
      </c>
      <c r="P37" s="35">
        <f t="shared" si="9"/>
        <v>50</v>
      </c>
      <c r="Q37" s="36">
        <f>SUM(K37/H37*100%)</f>
        <v>3.8461538461538464E-2</v>
      </c>
      <c r="R37" s="36">
        <f>SUM(J37/G37*100%)</f>
        <v>3.8461538461538464E-2</v>
      </c>
      <c r="S37" s="36">
        <f>SUM(K37/G37*100%)</f>
        <v>3.8461538461538464E-2</v>
      </c>
    </row>
    <row r="38" spans="1:19" x14ac:dyDescent="0.25">
      <c r="A38" s="27">
        <v>152</v>
      </c>
      <c r="B38" s="28" t="s">
        <v>74</v>
      </c>
      <c r="C38" s="29">
        <v>1050</v>
      </c>
      <c r="D38" s="30">
        <v>0</v>
      </c>
      <c r="E38" s="31">
        <v>1050</v>
      </c>
      <c r="F38" s="29">
        <v>2500</v>
      </c>
      <c r="G38" s="32">
        <f t="shared" si="12"/>
        <v>3550</v>
      </c>
      <c r="H38" s="49">
        <f>3000</f>
        <v>3000</v>
      </c>
      <c r="I38" s="32">
        <v>0</v>
      </c>
      <c r="J38" s="38">
        <v>0</v>
      </c>
      <c r="K38" s="38">
        <v>0</v>
      </c>
      <c r="L38" s="34">
        <f t="shared" si="15"/>
        <v>3000</v>
      </c>
      <c r="M38" s="34">
        <f t="shared" si="13"/>
        <v>550</v>
      </c>
      <c r="N38" s="34">
        <f t="shared" si="14"/>
        <v>3550</v>
      </c>
      <c r="O38" s="39">
        <v>0</v>
      </c>
      <c r="P38" s="35">
        <f t="shared" si="9"/>
        <v>0</v>
      </c>
      <c r="Q38" s="36">
        <f>SUM(K38/H38*100%)</f>
        <v>0</v>
      </c>
      <c r="R38" s="36">
        <f>SUM(J38/G38*100%)</f>
        <v>0</v>
      </c>
      <c r="S38" s="36">
        <f>SUM(K38/G38*100%)</f>
        <v>0</v>
      </c>
    </row>
    <row r="39" spans="1:19" x14ac:dyDescent="0.25">
      <c r="A39" s="37">
        <v>153</v>
      </c>
      <c r="B39" s="28" t="s">
        <v>75</v>
      </c>
      <c r="C39" s="40">
        <v>0</v>
      </c>
      <c r="D39" s="30">
        <v>0</v>
      </c>
      <c r="E39" s="41">
        <v>0</v>
      </c>
      <c r="F39" s="40"/>
      <c r="G39" s="32">
        <f t="shared" si="12"/>
        <v>0</v>
      </c>
      <c r="H39" s="49">
        <v>0</v>
      </c>
      <c r="I39" s="32">
        <v>0</v>
      </c>
      <c r="J39" s="38">
        <v>0</v>
      </c>
      <c r="K39" s="38">
        <v>0</v>
      </c>
      <c r="L39" s="34">
        <f t="shared" si="15"/>
        <v>0</v>
      </c>
      <c r="M39" s="34">
        <f t="shared" si="13"/>
        <v>0</v>
      </c>
      <c r="N39" s="34">
        <f t="shared" si="14"/>
        <v>0</v>
      </c>
      <c r="O39" s="39">
        <v>0</v>
      </c>
      <c r="P39" s="35">
        <f t="shared" si="9"/>
        <v>0</v>
      </c>
      <c r="Q39" s="36">
        <v>0</v>
      </c>
      <c r="R39" s="36">
        <v>0</v>
      </c>
      <c r="S39" s="36">
        <v>0</v>
      </c>
    </row>
    <row r="40" spans="1:19" x14ac:dyDescent="0.25">
      <c r="A40" s="37">
        <v>154</v>
      </c>
      <c r="B40" s="28" t="s">
        <v>76</v>
      </c>
      <c r="C40" s="40">
        <v>0</v>
      </c>
      <c r="D40" s="30">
        <v>0</v>
      </c>
      <c r="E40" s="41">
        <v>0</v>
      </c>
      <c r="F40" s="40">
        <v>200</v>
      </c>
      <c r="G40" s="32">
        <f t="shared" si="12"/>
        <v>200</v>
      </c>
      <c r="H40" s="49">
        <f>200</f>
        <v>200</v>
      </c>
      <c r="I40" s="32">
        <v>0</v>
      </c>
      <c r="J40" s="38">
        <f>7</f>
        <v>7</v>
      </c>
      <c r="K40" s="38">
        <f>7</f>
        <v>7</v>
      </c>
      <c r="L40" s="34">
        <f t="shared" si="15"/>
        <v>193</v>
      </c>
      <c r="M40" s="34">
        <f t="shared" si="13"/>
        <v>0</v>
      </c>
      <c r="N40" s="34">
        <f t="shared" si="14"/>
        <v>193</v>
      </c>
      <c r="O40" s="39">
        <v>0</v>
      </c>
      <c r="P40" s="35">
        <f t="shared" si="9"/>
        <v>7</v>
      </c>
      <c r="Q40" s="36">
        <f t="shared" ref="Q40:Q47" si="19">SUM(K40/H40*100%)</f>
        <v>3.5000000000000003E-2</v>
      </c>
      <c r="R40" s="36">
        <f t="shared" ref="R40:R48" si="20">SUM(J40/G40*100%)</f>
        <v>3.5000000000000003E-2</v>
      </c>
      <c r="S40" s="36">
        <v>0</v>
      </c>
    </row>
    <row r="41" spans="1:19" x14ac:dyDescent="0.25">
      <c r="A41" s="27" t="s">
        <v>77</v>
      </c>
      <c r="B41" s="28" t="s">
        <v>78</v>
      </c>
      <c r="C41" s="29">
        <v>9000</v>
      </c>
      <c r="D41" s="30">
        <v>0</v>
      </c>
      <c r="E41" s="31">
        <v>9000</v>
      </c>
      <c r="F41" s="29">
        <v>0</v>
      </c>
      <c r="G41" s="32">
        <f t="shared" si="12"/>
        <v>9000</v>
      </c>
      <c r="H41" s="49">
        <f>5000</f>
        <v>5000</v>
      </c>
      <c r="I41" s="32">
        <v>0</v>
      </c>
      <c r="J41" s="38">
        <v>0</v>
      </c>
      <c r="K41" s="38">
        <v>0</v>
      </c>
      <c r="L41" s="34">
        <f t="shared" si="15"/>
        <v>5000</v>
      </c>
      <c r="M41" s="34">
        <f t="shared" si="13"/>
        <v>4000</v>
      </c>
      <c r="N41" s="34">
        <f t="shared" si="14"/>
        <v>9000</v>
      </c>
      <c r="O41" s="39">
        <v>0</v>
      </c>
      <c r="P41" s="35">
        <f t="shared" si="9"/>
        <v>0</v>
      </c>
      <c r="Q41" s="36">
        <f t="shared" si="19"/>
        <v>0</v>
      </c>
      <c r="R41" s="36">
        <f t="shared" si="20"/>
        <v>0</v>
      </c>
      <c r="S41" s="36">
        <f t="shared" ref="S41:S48" si="21">SUM(K41/G41*100%)</f>
        <v>0</v>
      </c>
    </row>
    <row r="42" spans="1:19" x14ac:dyDescent="0.25">
      <c r="A42" s="27">
        <v>165</v>
      </c>
      <c r="B42" s="28" t="s">
        <v>79</v>
      </c>
      <c r="C42" s="29">
        <v>12600</v>
      </c>
      <c r="D42" s="30">
        <v>0</v>
      </c>
      <c r="E42" s="31">
        <v>12600</v>
      </c>
      <c r="F42" s="29">
        <v>0</v>
      </c>
      <c r="G42" s="32">
        <f t="shared" si="12"/>
        <v>12600</v>
      </c>
      <c r="H42" s="49">
        <f>5000</f>
        <v>5000</v>
      </c>
      <c r="I42" s="32">
        <v>0</v>
      </c>
      <c r="J42" s="38">
        <v>0</v>
      </c>
      <c r="K42" s="38">
        <v>0</v>
      </c>
      <c r="L42" s="34">
        <f t="shared" si="15"/>
        <v>5000</v>
      </c>
      <c r="M42" s="34">
        <f t="shared" si="13"/>
        <v>7600</v>
      </c>
      <c r="N42" s="34">
        <f t="shared" si="14"/>
        <v>12600</v>
      </c>
      <c r="O42" s="39">
        <v>0</v>
      </c>
      <c r="P42" s="35">
        <f t="shared" si="9"/>
        <v>0</v>
      </c>
      <c r="Q42" s="36">
        <f t="shared" si="19"/>
        <v>0</v>
      </c>
      <c r="R42" s="36">
        <f t="shared" si="20"/>
        <v>0</v>
      </c>
      <c r="S42" s="36">
        <f t="shared" si="21"/>
        <v>0</v>
      </c>
    </row>
    <row r="43" spans="1:19" x14ac:dyDescent="0.25">
      <c r="A43" s="27" t="s">
        <v>80</v>
      </c>
      <c r="B43" s="28" t="s">
        <v>81</v>
      </c>
      <c r="C43" s="29">
        <v>6400</v>
      </c>
      <c r="D43" s="30">
        <v>0</v>
      </c>
      <c r="E43" s="31">
        <v>6400</v>
      </c>
      <c r="F43" s="29">
        <v>16796</v>
      </c>
      <c r="G43" s="32">
        <f t="shared" si="12"/>
        <v>23196</v>
      </c>
      <c r="H43" s="49">
        <f>21796</f>
        <v>21796</v>
      </c>
      <c r="I43" s="32">
        <v>0</v>
      </c>
      <c r="J43" s="38">
        <f>7175.1</f>
        <v>7175.1</v>
      </c>
      <c r="K43" s="38">
        <f>7175.1</f>
        <v>7175.1</v>
      </c>
      <c r="L43" s="34">
        <f t="shared" si="15"/>
        <v>14620.9</v>
      </c>
      <c r="M43" s="34">
        <f t="shared" si="13"/>
        <v>1400</v>
      </c>
      <c r="N43" s="34">
        <f t="shared" si="14"/>
        <v>16020.9</v>
      </c>
      <c r="O43" s="39">
        <v>0</v>
      </c>
      <c r="P43" s="35">
        <f t="shared" si="9"/>
        <v>7175.1</v>
      </c>
      <c r="Q43" s="36">
        <f t="shared" si="19"/>
        <v>0.32919342998715362</v>
      </c>
      <c r="R43" s="36">
        <f t="shared" si="20"/>
        <v>0.30932488360062083</v>
      </c>
      <c r="S43" s="36">
        <f t="shared" si="21"/>
        <v>0.30932488360062083</v>
      </c>
    </row>
    <row r="44" spans="1:19" x14ac:dyDescent="0.25">
      <c r="A44" s="27">
        <v>171</v>
      </c>
      <c r="B44" s="28" t="s">
        <v>82</v>
      </c>
      <c r="C44" s="29">
        <v>100000</v>
      </c>
      <c r="D44" s="30">
        <v>0</v>
      </c>
      <c r="E44" s="31">
        <v>100000</v>
      </c>
      <c r="F44" s="29">
        <v>-9528</v>
      </c>
      <c r="G44" s="32">
        <f t="shared" si="12"/>
        <v>90472</v>
      </c>
      <c r="H44" s="49">
        <f>10472</f>
        <v>10472</v>
      </c>
      <c r="I44" s="32">
        <v>0</v>
      </c>
      <c r="J44" s="38">
        <v>0</v>
      </c>
      <c r="K44" s="38">
        <v>0</v>
      </c>
      <c r="L44" s="34">
        <f t="shared" si="15"/>
        <v>10472</v>
      </c>
      <c r="M44" s="34">
        <f t="shared" si="13"/>
        <v>80000</v>
      </c>
      <c r="N44" s="34">
        <f t="shared" si="14"/>
        <v>90472</v>
      </c>
      <c r="O44" s="39">
        <v>0</v>
      </c>
      <c r="P44" s="35">
        <f t="shared" si="9"/>
        <v>0</v>
      </c>
      <c r="Q44" s="36">
        <f t="shared" si="19"/>
        <v>0</v>
      </c>
      <c r="R44" s="36">
        <f t="shared" si="20"/>
        <v>0</v>
      </c>
      <c r="S44" s="36">
        <f t="shared" si="21"/>
        <v>0</v>
      </c>
    </row>
    <row r="45" spans="1:19" x14ac:dyDescent="0.25">
      <c r="A45" s="27" t="s">
        <v>83</v>
      </c>
      <c r="B45" s="28" t="s">
        <v>84</v>
      </c>
      <c r="C45" s="29">
        <v>36000</v>
      </c>
      <c r="D45" s="30">
        <v>0</v>
      </c>
      <c r="E45" s="31">
        <v>36000</v>
      </c>
      <c r="F45" s="29">
        <v>0</v>
      </c>
      <c r="G45" s="32">
        <f t="shared" si="12"/>
        <v>36000</v>
      </c>
      <c r="H45" s="33">
        <v>36000</v>
      </c>
      <c r="I45" s="32">
        <v>0</v>
      </c>
      <c r="J45" s="38">
        <v>0</v>
      </c>
      <c r="K45" s="29">
        <v>36000</v>
      </c>
      <c r="L45" s="34">
        <f t="shared" si="15"/>
        <v>0</v>
      </c>
      <c r="M45" s="34">
        <f t="shared" si="13"/>
        <v>0</v>
      </c>
      <c r="N45" s="34">
        <f t="shared" si="14"/>
        <v>0</v>
      </c>
      <c r="O45" s="39">
        <v>0</v>
      </c>
      <c r="P45" s="35">
        <f t="shared" si="9"/>
        <v>36000</v>
      </c>
      <c r="Q45" s="36">
        <f t="shared" si="19"/>
        <v>1</v>
      </c>
      <c r="R45" s="36">
        <f t="shared" si="20"/>
        <v>0</v>
      </c>
      <c r="S45" s="36">
        <f t="shared" si="21"/>
        <v>1</v>
      </c>
    </row>
    <row r="46" spans="1:19" x14ac:dyDescent="0.25">
      <c r="A46" s="27" t="s">
        <v>85</v>
      </c>
      <c r="B46" s="28" t="s">
        <v>86</v>
      </c>
      <c r="C46" s="29">
        <v>2500</v>
      </c>
      <c r="D46" s="30">
        <v>0</v>
      </c>
      <c r="E46" s="31">
        <v>2500</v>
      </c>
      <c r="F46" s="29">
        <v>-1700</v>
      </c>
      <c r="G46" s="32">
        <f t="shared" si="12"/>
        <v>800</v>
      </c>
      <c r="H46" s="49">
        <f>300</f>
        <v>300</v>
      </c>
      <c r="I46" s="32">
        <v>0</v>
      </c>
      <c r="J46" s="38">
        <v>0</v>
      </c>
      <c r="K46" s="38">
        <v>0</v>
      </c>
      <c r="L46" s="34">
        <f t="shared" si="15"/>
        <v>300</v>
      </c>
      <c r="M46" s="34">
        <f t="shared" si="13"/>
        <v>500</v>
      </c>
      <c r="N46" s="34">
        <f t="shared" si="14"/>
        <v>800</v>
      </c>
      <c r="O46" s="39">
        <v>0</v>
      </c>
      <c r="P46" s="35">
        <f t="shared" si="9"/>
        <v>0</v>
      </c>
      <c r="Q46" s="36">
        <f t="shared" si="19"/>
        <v>0</v>
      </c>
      <c r="R46" s="36">
        <f t="shared" si="20"/>
        <v>0</v>
      </c>
      <c r="S46" s="36">
        <f t="shared" si="21"/>
        <v>0</v>
      </c>
    </row>
    <row r="47" spans="1:19" x14ac:dyDescent="0.25">
      <c r="A47" s="37" t="s">
        <v>87</v>
      </c>
      <c r="B47" s="28" t="s">
        <v>88</v>
      </c>
      <c r="C47" s="29">
        <v>2500</v>
      </c>
      <c r="D47" s="30">
        <v>0</v>
      </c>
      <c r="E47" s="31">
        <v>2500</v>
      </c>
      <c r="F47" s="29">
        <v>-1450</v>
      </c>
      <c r="G47" s="32">
        <f t="shared" si="12"/>
        <v>1050</v>
      </c>
      <c r="H47" s="49">
        <f>550</f>
        <v>550</v>
      </c>
      <c r="I47" s="32">
        <v>0</v>
      </c>
      <c r="J47" s="38">
        <v>0</v>
      </c>
      <c r="K47" s="38">
        <v>0</v>
      </c>
      <c r="L47" s="34">
        <f t="shared" si="15"/>
        <v>550</v>
      </c>
      <c r="M47" s="34">
        <f t="shared" si="13"/>
        <v>500</v>
      </c>
      <c r="N47" s="34">
        <f t="shared" si="14"/>
        <v>1050</v>
      </c>
      <c r="O47" s="39">
        <v>0</v>
      </c>
      <c r="P47" s="35">
        <f t="shared" si="9"/>
        <v>0</v>
      </c>
      <c r="Q47" s="36">
        <f t="shared" si="19"/>
        <v>0</v>
      </c>
      <c r="R47" s="36">
        <f t="shared" si="20"/>
        <v>0</v>
      </c>
      <c r="S47" s="36">
        <f t="shared" si="21"/>
        <v>0</v>
      </c>
    </row>
    <row r="48" spans="1:19" x14ac:dyDescent="0.25">
      <c r="A48" s="37">
        <v>185</v>
      </c>
      <c r="B48" s="28" t="s">
        <v>89</v>
      </c>
      <c r="C48" s="29">
        <v>1176</v>
      </c>
      <c r="D48" s="30">
        <v>0</v>
      </c>
      <c r="E48" s="31">
        <v>1176</v>
      </c>
      <c r="F48" s="29">
        <v>-500</v>
      </c>
      <c r="G48" s="32">
        <f t="shared" si="12"/>
        <v>676</v>
      </c>
      <c r="H48" s="49">
        <v>0</v>
      </c>
      <c r="I48" s="32">
        <v>0</v>
      </c>
      <c r="J48" s="38">
        <v>0</v>
      </c>
      <c r="K48" s="38">
        <v>0</v>
      </c>
      <c r="L48" s="34">
        <f t="shared" si="15"/>
        <v>0</v>
      </c>
      <c r="M48" s="34">
        <f t="shared" si="13"/>
        <v>676</v>
      </c>
      <c r="N48" s="34">
        <f t="shared" si="14"/>
        <v>676</v>
      </c>
      <c r="O48" s="39">
        <v>0</v>
      </c>
      <c r="P48" s="35">
        <f t="shared" si="9"/>
        <v>0</v>
      </c>
      <c r="Q48" s="36">
        <v>0</v>
      </c>
      <c r="R48" s="36">
        <f t="shared" si="20"/>
        <v>0</v>
      </c>
      <c r="S48" s="36">
        <f t="shared" si="21"/>
        <v>0</v>
      </c>
    </row>
    <row r="49" spans="1:19" x14ac:dyDescent="0.25">
      <c r="A49" s="37">
        <v>192</v>
      </c>
      <c r="B49" s="28" t="s">
        <v>90</v>
      </c>
      <c r="C49" s="40">
        <v>0</v>
      </c>
      <c r="D49" s="30">
        <v>0</v>
      </c>
      <c r="E49" s="41">
        <v>0</v>
      </c>
      <c r="F49" s="40"/>
      <c r="G49" s="32">
        <f t="shared" si="12"/>
        <v>0</v>
      </c>
      <c r="H49" s="49">
        <v>0</v>
      </c>
      <c r="I49" s="32">
        <v>0</v>
      </c>
      <c r="J49" s="38">
        <v>0</v>
      </c>
      <c r="K49" s="38">
        <v>0</v>
      </c>
      <c r="L49" s="34">
        <f t="shared" si="15"/>
        <v>0</v>
      </c>
      <c r="M49" s="34">
        <f t="shared" si="13"/>
        <v>0</v>
      </c>
      <c r="N49" s="34">
        <f t="shared" si="14"/>
        <v>0</v>
      </c>
      <c r="O49" s="39">
        <v>0</v>
      </c>
      <c r="P49" s="35">
        <f t="shared" si="9"/>
        <v>0</v>
      </c>
      <c r="Q49" s="36">
        <v>0</v>
      </c>
      <c r="R49" s="36">
        <v>0</v>
      </c>
      <c r="S49" s="36">
        <v>0</v>
      </c>
    </row>
    <row r="50" spans="1:19" x14ac:dyDescent="0.25">
      <c r="A50" s="37">
        <v>195</v>
      </c>
      <c r="B50" s="28" t="s">
        <v>91</v>
      </c>
      <c r="C50" s="40">
        <v>0</v>
      </c>
      <c r="D50" s="30">
        <v>0</v>
      </c>
      <c r="E50" s="41">
        <v>0</v>
      </c>
      <c r="F50" s="40">
        <v>589</v>
      </c>
      <c r="G50" s="32">
        <f t="shared" si="12"/>
        <v>589</v>
      </c>
      <c r="H50" s="49">
        <f>589</f>
        <v>589</v>
      </c>
      <c r="I50" s="32">
        <v>0</v>
      </c>
      <c r="J50" s="38">
        <f>589</f>
        <v>589</v>
      </c>
      <c r="K50" s="38">
        <f>589</f>
        <v>589</v>
      </c>
      <c r="L50" s="34">
        <f t="shared" si="15"/>
        <v>0</v>
      </c>
      <c r="M50" s="34">
        <f t="shared" si="13"/>
        <v>0</v>
      </c>
      <c r="N50" s="34">
        <f t="shared" si="14"/>
        <v>0</v>
      </c>
      <c r="O50" s="39">
        <v>0</v>
      </c>
      <c r="P50" s="35">
        <f t="shared" si="9"/>
        <v>589</v>
      </c>
      <c r="Q50" s="36">
        <f>SUM(K50/H50*100%)</f>
        <v>1</v>
      </c>
      <c r="R50" s="36">
        <f>SUM(J50/G50*100%)</f>
        <v>1</v>
      </c>
      <c r="S50" s="36">
        <v>0</v>
      </c>
    </row>
    <row r="51" spans="1:19" x14ac:dyDescent="0.25">
      <c r="A51" s="37">
        <v>196</v>
      </c>
      <c r="B51" s="28" t="s">
        <v>92</v>
      </c>
      <c r="C51" s="40">
        <v>0</v>
      </c>
      <c r="D51" s="30">
        <v>0</v>
      </c>
      <c r="E51" s="41">
        <v>0</v>
      </c>
      <c r="F51" s="40">
        <v>700</v>
      </c>
      <c r="G51" s="32">
        <f t="shared" si="12"/>
        <v>700</v>
      </c>
      <c r="H51" s="49">
        <f>700</f>
        <v>700</v>
      </c>
      <c r="I51" s="32">
        <v>0</v>
      </c>
      <c r="J51" s="38">
        <f>399.5</f>
        <v>399.5</v>
      </c>
      <c r="K51" s="38">
        <f>399.5</f>
        <v>399.5</v>
      </c>
      <c r="L51" s="34">
        <f t="shared" si="15"/>
        <v>300.5</v>
      </c>
      <c r="M51" s="34">
        <f t="shared" si="13"/>
        <v>0</v>
      </c>
      <c r="N51" s="34">
        <f t="shared" si="14"/>
        <v>300.5</v>
      </c>
      <c r="O51" s="39">
        <v>0</v>
      </c>
      <c r="P51" s="35">
        <f t="shared" si="9"/>
        <v>399.5</v>
      </c>
      <c r="Q51" s="36">
        <f>SUM(K51/H51*100%)</f>
        <v>0.57071428571428573</v>
      </c>
      <c r="R51" s="36">
        <f>SUM(J51/G51*100%)</f>
        <v>0.57071428571428573</v>
      </c>
      <c r="S51" s="36">
        <v>0</v>
      </c>
    </row>
    <row r="52" spans="1:19" x14ac:dyDescent="0.25">
      <c r="A52" s="27">
        <v>197</v>
      </c>
      <c r="B52" s="28" t="s">
        <v>93</v>
      </c>
      <c r="C52" s="40">
        <v>0</v>
      </c>
      <c r="D52" s="30">
        <v>0</v>
      </c>
      <c r="E52" s="41">
        <v>0</v>
      </c>
      <c r="F52" s="40">
        <v>2692</v>
      </c>
      <c r="G52" s="32">
        <f t="shared" si="12"/>
        <v>2692</v>
      </c>
      <c r="H52" s="49">
        <f>2692</f>
        <v>2692</v>
      </c>
      <c r="I52" s="32">
        <v>0</v>
      </c>
      <c r="J52" s="38">
        <f>2561.61</f>
        <v>2561.61</v>
      </c>
      <c r="K52" s="38">
        <f>2561.61</f>
        <v>2561.61</v>
      </c>
      <c r="L52" s="34">
        <f t="shared" si="15"/>
        <v>130.38999999999987</v>
      </c>
      <c r="M52" s="34">
        <f t="shared" si="13"/>
        <v>0</v>
      </c>
      <c r="N52" s="34">
        <f t="shared" si="14"/>
        <v>130.38999999999987</v>
      </c>
      <c r="O52" s="39">
        <f>37.19</f>
        <v>37.19</v>
      </c>
      <c r="P52" s="35">
        <f t="shared" si="9"/>
        <v>2524.42</v>
      </c>
      <c r="Q52" s="36">
        <f>SUM(K52/H52*100%)</f>
        <v>0.95156389301634481</v>
      </c>
      <c r="R52" s="36">
        <f>SUM(J52/G52*100%)</f>
        <v>0.95156389301634481</v>
      </c>
      <c r="S52" s="36">
        <v>0</v>
      </c>
    </row>
    <row r="53" spans="1:19" ht="15.75" thickBot="1" x14ac:dyDescent="0.3">
      <c r="A53" s="27">
        <v>199</v>
      </c>
      <c r="B53" s="28" t="s">
        <v>94</v>
      </c>
      <c r="C53" s="40">
        <v>0</v>
      </c>
      <c r="D53" s="30">
        <v>0</v>
      </c>
      <c r="E53" s="41">
        <v>0</v>
      </c>
      <c r="F53" s="40"/>
      <c r="G53" s="32">
        <f t="shared" si="12"/>
        <v>0</v>
      </c>
      <c r="H53" s="49">
        <v>0</v>
      </c>
      <c r="I53" s="32">
        <v>0</v>
      </c>
      <c r="J53" s="38">
        <v>0</v>
      </c>
      <c r="K53" s="38">
        <v>0</v>
      </c>
      <c r="L53" s="34">
        <f t="shared" si="15"/>
        <v>0</v>
      </c>
      <c r="M53" s="34">
        <f t="shared" si="13"/>
        <v>0</v>
      </c>
      <c r="N53" s="34">
        <f t="shared" si="14"/>
        <v>0</v>
      </c>
      <c r="O53" s="39">
        <v>0</v>
      </c>
      <c r="P53" s="35">
        <f t="shared" si="9"/>
        <v>0</v>
      </c>
      <c r="Q53" s="36">
        <v>0</v>
      </c>
      <c r="R53" s="36">
        <v>0</v>
      </c>
      <c r="S53" s="36">
        <v>0</v>
      </c>
    </row>
    <row r="54" spans="1:19" ht="15.75" thickBot="1" x14ac:dyDescent="0.3">
      <c r="A54" s="43">
        <v>2</v>
      </c>
      <c r="B54" s="44" t="s">
        <v>95</v>
      </c>
      <c r="C54" s="45">
        <f>SUM(C55:C87)</f>
        <v>19912</v>
      </c>
      <c r="D54" s="46">
        <f>SUM(D56:D87)</f>
        <v>0</v>
      </c>
      <c r="E54" s="47">
        <f>SUM(E55:E87)</f>
        <v>19912</v>
      </c>
      <c r="F54" s="118">
        <f>SUM(F55:F87)</f>
        <v>46006</v>
      </c>
      <c r="G54" s="46">
        <f t="shared" ref="G54:P54" si="22">SUM(G55:G87)</f>
        <v>65918</v>
      </c>
      <c r="H54" s="46">
        <f t="shared" si="22"/>
        <v>62418</v>
      </c>
      <c r="I54" s="46">
        <f t="shared" si="22"/>
        <v>0</v>
      </c>
      <c r="J54" s="46">
        <f t="shared" si="22"/>
        <v>3566.73</v>
      </c>
      <c r="K54" s="46">
        <f t="shared" si="22"/>
        <v>4835.4099999999989</v>
      </c>
      <c r="L54" s="46">
        <f t="shared" si="22"/>
        <v>57582.59</v>
      </c>
      <c r="M54" s="46">
        <f t="shared" si="22"/>
        <v>3500</v>
      </c>
      <c r="N54" s="46">
        <f>SUM(N55:N87)</f>
        <v>61082.59</v>
      </c>
      <c r="O54" s="47">
        <f t="shared" si="22"/>
        <v>0</v>
      </c>
      <c r="P54" s="45">
        <f t="shared" si="22"/>
        <v>4835.4099999999989</v>
      </c>
      <c r="Q54" s="25">
        <f>SUM(K54/H54*100%)</f>
        <v>7.7468198276138281E-2</v>
      </c>
      <c r="R54" s="15">
        <f>SUM(J54/G54*100%)</f>
        <v>5.4108589459631665E-2</v>
      </c>
      <c r="S54" s="15">
        <f>SUM(K54/G54*100%)</f>
        <v>7.3354925816924044E-2</v>
      </c>
    </row>
    <row r="55" spans="1:19" x14ac:dyDescent="0.25">
      <c r="A55" s="37">
        <v>201</v>
      </c>
      <c r="B55" s="28" t="s">
        <v>96</v>
      </c>
      <c r="C55" s="29">
        <v>500</v>
      </c>
      <c r="D55" s="30">
        <v>0</v>
      </c>
      <c r="E55" s="31">
        <v>500</v>
      </c>
      <c r="F55" s="29">
        <v>7000</v>
      </c>
      <c r="G55" s="32">
        <f t="shared" ref="G55:G87" si="23">SUM(E55+F55)</f>
        <v>7500</v>
      </c>
      <c r="H55" s="49">
        <f>7500</f>
        <v>7500</v>
      </c>
      <c r="I55" s="32">
        <v>0</v>
      </c>
      <c r="J55" s="38">
        <f>805.68</f>
        <v>805.68</v>
      </c>
      <c r="K55" s="38">
        <f>980.68</f>
        <v>980.68</v>
      </c>
      <c r="L55" s="34">
        <f t="shared" ref="L55:L87" si="24">SUM(H55-K55)</f>
        <v>6519.32</v>
      </c>
      <c r="M55" s="34">
        <f t="shared" ref="M55:M84" si="25">SUM(G55-H55)</f>
        <v>0</v>
      </c>
      <c r="N55" s="34">
        <f t="shared" ref="N55:N87" si="26">SUM(-I55+L55+M55)</f>
        <v>6519.32</v>
      </c>
      <c r="O55" s="39">
        <v>0</v>
      </c>
      <c r="P55" s="35">
        <f t="shared" si="9"/>
        <v>980.68</v>
      </c>
      <c r="Q55" s="36">
        <f>SUM(K55/H55*100%)</f>
        <v>0.13075733333333334</v>
      </c>
      <c r="R55" s="36">
        <f>SUM(J55/G55*100%)</f>
        <v>0.10742399999999999</v>
      </c>
      <c r="S55" s="36">
        <f>SUM(K55/G55*100%)</f>
        <v>0.13075733333333334</v>
      </c>
    </row>
    <row r="56" spans="1:19" x14ac:dyDescent="0.25">
      <c r="A56" s="37" t="s">
        <v>97</v>
      </c>
      <c r="B56" s="28" t="s">
        <v>98</v>
      </c>
      <c r="C56" s="29">
        <v>200</v>
      </c>
      <c r="D56" s="30">
        <v>0</v>
      </c>
      <c r="E56" s="31">
        <v>200</v>
      </c>
      <c r="F56" s="29">
        <v>2576</v>
      </c>
      <c r="G56" s="32">
        <f t="shared" si="23"/>
        <v>2776</v>
      </c>
      <c r="H56" s="49">
        <f>2776</f>
        <v>2776</v>
      </c>
      <c r="I56" s="32">
        <v>0</v>
      </c>
      <c r="J56" s="38">
        <f>1645.92</f>
        <v>1645.92</v>
      </c>
      <c r="K56" s="38">
        <f>1675.92</f>
        <v>1675.92</v>
      </c>
      <c r="L56" s="34">
        <f t="shared" si="24"/>
        <v>1100.08</v>
      </c>
      <c r="M56" s="34">
        <f t="shared" si="25"/>
        <v>0</v>
      </c>
      <c r="N56" s="34">
        <f t="shared" si="26"/>
        <v>1100.08</v>
      </c>
      <c r="O56" s="39">
        <v>0</v>
      </c>
      <c r="P56" s="35">
        <f t="shared" si="9"/>
        <v>1675.92</v>
      </c>
      <c r="Q56" s="36">
        <f>SUM(K56/H56*100%)</f>
        <v>0.60371757925072045</v>
      </c>
      <c r="R56" s="36">
        <f>SUM(J56/G56*100%)</f>
        <v>0.59291066282420757</v>
      </c>
      <c r="S56" s="36">
        <f>SUM(K56/G56*100%)</f>
        <v>0.60371757925072045</v>
      </c>
    </row>
    <row r="57" spans="1:19" x14ac:dyDescent="0.25">
      <c r="A57" s="37">
        <v>211</v>
      </c>
      <c r="B57" s="28" t="s">
        <v>99</v>
      </c>
      <c r="C57" s="40">
        <v>0</v>
      </c>
      <c r="D57" s="30">
        <v>0</v>
      </c>
      <c r="E57" s="41">
        <v>0</v>
      </c>
      <c r="F57" s="40"/>
      <c r="G57" s="32">
        <f t="shared" si="23"/>
        <v>0</v>
      </c>
      <c r="H57" s="49">
        <v>0</v>
      </c>
      <c r="I57" s="32">
        <v>0</v>
      </c>
      <c r="J57" s="38">
        <v>0</v>
      </c>
      <c r="K57" s="38">
        <v>0</v>
      </c>
      <c r="L57" s="34">
        <f t="shared" si="24"/>
        <v>0</v>
      </c>
      <c r="M57" s="34">
        <f t="shared" si="25"/>
        <v>0</v>
      </c>
      <c r="N57" s="34">
        <f t="shared" si="26"/>
        <v>0</v>
      </c>
      <c r="O57" s="39">
        <v>0</v>
      </c>
      <c r="P57" s="35">
        <f t="shared" si="9"/>
        <v>0</v>
      </c>
      <c r="Q57" s="36">
        <v>0</v>
      </c>
      <c r="R57" s="36">
        <v>0</v>
      </c>
      <c r="S57" s="36">
        <v>0</v>
      </c>
    </row>
    <row r="58" spans="1:19" x14ac:dyDescent="0.25">
      <c r="A58" s="37">
        <v>212</v>
      </c>
      <c r="B58" s="28" t="s">
        <v>100</v>
      </c>
      <c r="C58" s="40">
        <v>0</v>
      </c>
      <c r="D58" s="30">
        <v>0</v>
      </c>
      <c r="E58" s="41">
        <v>0</v>
      </c>
      <c r="F58" s="40"/>
      <c r="G58" s="32">
        <f t="shared" si="23"/>
        <v>0</v>
      </c>
      <c r="H58" s="49">
        <v>0</v>
      </c>
      <c r="I58" s="32">
        <v>0</v>
      </c>
      <c r="J58" s="38">
        <v>0</v>
      </c>
      <c r="K58" s="38">
        <v>0</v>
      </c>
      <c r="L58" s="34">
        <f t="shared" si="24"/>
        <v>0</v>
      </c>
      <c r="M58" s="34">
        <f t="shared" si="25"/>
        <v>0</v>
      </c>
      <c r="N58" s="34">
        <f t="shared" si="26"/>
        <v>0</v>
      </c>
      <c r="O58" s="39">
        <v>0</v>
      </c>
      <c r="P58" s="35">
        <f t="shared" si="9"/>
        <v>0</v>
      </c>
      <c r="Q58" s="36">
        <v>0</v>
      </c>
      <c r="R58" s="36">
        <v>0</v>
      </c>
      <c r="S58" s="36">
        <v>0</v>
      </c>
    </row>
    <row r="59" spans="1:19" x14ac:dyDescent="0.25">
      <c r="A59" s="37">
        <v>214</v>
      </c>
      <c r="B59" s="28" t="s">
        <v>101</v>
      </c>
      <c r="C59" s="40">
        <v>0</v>
      </c>
      <c r="D59" s="30">
        <v>0</v>
      </c>
      <c r="E59" s="41">
        <v>0</v>
      </c>
      <c r="F59" s="40">
        <v>15261</v>
      </c>
      <c r="G59" s="32">
        <f t="shared" si="23"/>
        <v>15261</v>
      </c>
      <c r="H59" s="49">
        <f>15261</f>
        <v>15261</v>
      </c>
      <c r="I59" s="32">
        <v>0</v>
      </c>
      <c r="J59" s="38">
        <f>10.69</f>
        <v>10.69</v>
      </c>
      <c r="K59" s="38">
        <f>10.69</f>
        <v>10.69</v>
      </c>
      <c r="L59" s="34">
        <f t="shared" si="24"/>
        <v>15250.31</v>
      </c>
      <c r="M59" s="34">
        <f t="shared" si="25"/>
        <v>0</v>
      </c>
      <c r="N59" s="34">
        <f t="shared" si="26"/>
        <v>15250.31</v>
      </c>
      <c r="O59" s="39">
        <v>0</v>
      </c>
      <c r="P59" s="35">
        <f t="shared" si="9"/>
        <v>10.69</v>
      </c>
      <c r="Q59" s="36">
        <f t="shared" ref="Q59:Q67" si="27">SUM(K59/H59*100%)</f>
        <v>7.0047834348994161E-4</v>
      </c>
      <c r="R59" s="36">
        <v>0</v>
      </c>
      <c r="S59" s="36">
        <v>0</v>
      </c>
    </row>
    <row r="60" spans="1:19" x14ac:dyDescent="0.25">
      <c r="A60" s="37" t="s">
        <v>102</v>
      </c>
      <c r="B60" s="28" t="s">
        <v>103</v>
      </c>
      <c r="C60" s="29">
        <v>1000</v>
      </c>
      <c r="D60" s="30">
        <v>0</v>
      </c>
      <c r="E60" s="31">
        <v>1000</v>
      </c>
      <c r="F60" s="29">
        <v>4000</v>
      </c>
      <c r="G60" s="32">
        <f t="shared" si="23"/>
        <v>5000</v>
      </c>
      <c r="H60" s="33">
        <f>1000+4000</f>
        <v>5000</v>
      </c>
      <c r="I60" s="32">
        <v>0</v>
      </c>
      <c r="J60" s="38">
        <v>0</v>
      </c>
      <c r="K60" s="38">
        <v>0</v>
      </c>
      <c r="L60" s="34">
        <f t="shared" si="24"/>
        <v>5000</v>
      </c>
      <c r="M60" s="34">
        <f t="shared" si="25"/>
        <v>0</v>
      </c>
      <c r="N60" s="34">
        <f t="shared" si="26"/>
        <v>5000</v>
      </c>
      <c r="O60" s="39">
        <v>0</v>
      </c>
      <c r="P60" s="35">
        <f t="shared" si="9"/>
        <v>0</v>
      </c>
      <c r="Q60" s="36">
        <f t="shared" si="27"/>
        <v>0</v>
      </c>
      <c r="R60" s="36">
        <f>SUM(J60/G60*100%)</f>
        <v>0</v>
      </c>
      <c r="S60" s="36">
        <f>SUM(K60/G60*100%)</f>
        <v>0</v>
      </c>
    </row>
    <row r="61" spans="1:19" x14ac:dyDescent="0.25">
      <c r="A61" s="37" t="s">
        <v>104</v>
      </c>
      <c r="B61" s="28" t="s">
        <v>105</v>
      </c>
      <c r="C61" s="29">
        <v>1743</v>
      </c>
      <c r="D61" s="30">
        <v>0</v>
      </c>
      <c r="E61" s="31">
        <v>1743</v>
      </c>
      <c r="F61" s="29">
        <v>757</v>
      </c>
      <c r="G61" s="32">
        <f t="shared" si="23"/>
        <v>2500</v>
      </c>
      <c r="H61" s="33">
        <f>1743+757</f>
        <v>2500</v>
      </c>
      <c r="I61" s="32">
        <v>0</v>
      </c>
      <c r="J61" s="38">
        <v>0</v>
      </c>
      <c r="K61" s="38">
        <v>0</v>
      </c>
      <c r="L61" s="34">
        <f t="shared" si="24"/>
        <v>2500</v>
      </c>
      <c r="M61" s="34">
        <f t="shared" si="25"/>
        <v>0</v>
      </c>
      <c r="N61" s="34">
        <f t="shared" si="26"/>
        <v>2500</v>
      </c>
      <c r="O61" s="39">
        <v>0</v>
      </c>
      <c r="P61" s="35">
        <f t="shared" si="9"/>
        <v>0</v>
      </c>
      <c r="Q61" s="36">
        <f t="shared" si="27"/>
        <v>0</v>
      </c>
      <c r="R61" s="36">
        <f>SUM(J61/G61*100%)</f>
        <v>0</v>
      </c>
      <c r="S61" s="36">
        <f>SUM(K61/G61*100%)</f>
        <v>0</v>
      </c>
    </row>
    <row r="62" spans="1:19" x14ac:dyDescent="0.25">
      <c r="A62" s="27" t="s">
        <v>106</v>
      </c>
      <c r="B62" s="28" t="s">
        <v>107</v>
      </c>
      <c r="C62" s="29">
        <v>2179</v>
      </c>
      <c r="D62" s="30">
        <v>0</v>
      </c>
      <c r="E62" s="31">
        <v>2179</v>
      </c>
      <c r="F62" s="29">
        <v>-700</v>
      </c>
      <c r="G62" s="32">
        <f t="shared" si="23"/>
        <v>1479</v>
      </c>
      <c r="H62" s="49">
        <f>479</f>
        <v>479</v>
      </c>
      <c r="I62" s="32">
        <v>0</v>
      </c>
      <c r="J62" s="38">
        <v>0</v>
      </c>
      <c r="K62" s="38">
        <v>0</v>
      </c>
      <c r="L62" s="34">
        <f t="shared" si="24"/>
        <v>479</v>
      </c>
      <c r="M62" s="34">
        <f t="shared" si="25"/>
        <v>1000</v>
      </c>
      <c r="N62" s="34">
        <f t="shared" si="26"/>
        <v>1479</v>
      </c>
      <c r="O62" s="39">
        <v>0</v>
      </c>
      <c r="P62" s="35">
        <f t="shared" si="9"/>
        <v>0</v>
      </c>
      <c r="Q62" s="36">
        <f t="shared" si="27"/>
        <v>0</v>
      </c>
      <c r="R62" s="36">
        <f>SUM(J62/G62*100%)</f>
        <v>0</v>
      </c>
      <c r="S62" s="36">
        <f>SUM(K62/G62*100%)</f>
        <v>0</v>
      </c>
    </row>
    <row r="63" spans="1:19" x14ac:dyDescent="0.25">
      <c r="A63" s="27">
        <v>231</v>
      </c>
      <c r="B63" s="28" t="s">
        <v>108</v>
      </c>
      <c r="C63" s="29">
        <v>2363</v>
      </c>
      <c r="D63" s="30">
        <v>0</v>
      </c>
      <c r="E63" s="31">
        <v>2363</v>
      </c>
      <c r="F63" s="29">
        <v>-996</v>
      </c>
      <c r="G63" s="32">
        <f t="shared" si="23"/>
        <v>1367</v>
      </c>
      <c r="H63" s="49">
        <f>1367</f>
        <v>1367</v>
      </c>
      <c r="I63" s="32">
        <v>0</v>
      </c>
      <c r="J63" s="38">
        <f>60</f>
        <v>60</v>
      </c>
      <c r="K63" s="38">
        <f>60</f>
        <v>60</v>
      </c>
      <c r="L63" s="34">
        <f t="shared" si="24"/>
        <v>1307</v>
      </c>
      <c r="M63" s="34">
        <f t="shared" si="25"/>
        <v>0</v>
      </c>
      <c r="N63" s="34">
        <f t="shared" si="26"/>
        <v>1307</v>
      </c>
      <c r="O63" s="39">
        <v>0</v>
      </c>
      <c r="P63" s="35">
        <f t="shared" si="9"/>
        <v>60</v>
      </c>
      <c r="Q63" s="36">
        <f t="shared" si="27"/>
        <v>4.3891733723482075E-2</v>
      </c>
      <c r="R63" s="36">
        <f>SUM(J63/G63*100%)</f>
        <v>4.3891733723482075E-2</v>
      </c>
      <c r="S63" s="36">
        <f>SUM(K63/G63*100%)</f>
        <v>4.3891733723482075E-2</v>
      </c>
    </row>
    <row r="64" spans="1:19" x14ac:dyDescent="0.25">
      <c r="A64" s="27" t="s">
        <v>109</v>
      </c>
      <c r="B64" s="28" t="s">
        <v>110</v>
      </c>
      <c r="C64" s="29">
        <v>1000</v>
      </c>
      <c r="D64" s="30">
        <v>0</v>
      </c>
      <c r="E64" s="31">
        <v>1000</v>
      </c>
      <c r="F64" s="29">
        <v>1000</v>
      </c>
      <c r="G64" s="32">
        <f t="shared" si="23"/>
        <v>2000</v>
      </c>
      <c r="H64" s="49">
        <f>2000</f>
        <v>2000</v>
      </c>
      <c r="I64" s="32">
        <v>0</v>
      </c>
      <c r="J64" s="38">
        <v>0</v>
      </c>
      <c r="K64" s="38">
        <v>0</v>
      </c>
      <c r="L64" s="34">
        <f t="shared" si="24"/>
        <v>2000</v>
      </c>
      <c r="M64" s="34">
        <f t="shared" si="25"/>
        <v>0</v>
      </c>
      <c r="N64" s="34">
        <f t="shared" si="26"/>
        <v>2000</v>
      </c>
      <c r="O64" s="39">
        <v>0</v>
      </c>
      <c r="P64" s="35">
        <f t="shared" si="9"/>
        <v>0</v>
      </c>
      <c r="Q64" s="36">
        <f t="shared" si="27"/>
        <v>0</v>
      </c>
      <c r="R64" s="36">
        <f>SUM(J64/G64*100%)</f>
        <v>0</v>
      </c>
      <c r="S64" s="36">
        <f>SUM(K64/G64*100%)</f>
        <v>0</v>
      </c>
    </row>
    <row r="65" spans="1:19" x14ac:dyDescent="0.25">
      <c r="A65" s="27">
        <v>239</v>
      </c>
      <c r="B65" s="28" t="s">
        <v>111</v>
      </c>
      <c r="C65" s="40">
        <v>0</v>
      </c>
      <c r="D65" s="30">
        <v>0</v>
      </c>
      <c r="E65" s="41">
        <v>0</v>
      </c>
      <c r="F65" s="40">
        <v>450</v>
      </c>
      <c r="G65" s="32">
        <f t="shared" si="23"/>
        <v>450</v>
      </c>
      <c r="H65" s="49">
        <f>450</f>
        <v>450</v>
      </c>
      <c r="I65" s="32">
        <v>0</v>
      </c>
      <c r="J65" s="38">
        <v>0</v>
      </c>
      <c r="K65" s="38">
        <v>0</v>
      </c>
      <c r="L65" s="34">
        <f t="shared" si="24"/>
        <v>450</v>
      </c>
      <c r="M65" s="34">
        <f t="shared" si="25"/>
        <v>0</v>
      </c>
      <c r="N65" s="34">
        <f t="shared" si="26"/>
        <v>450</v>
      </c>
      <c r="O65" s="39">
        <v>0</v>
      </c>
      <c r="P65" s="35">
        <f t="shared" si="9"/>
        <v>0</v>
      </c>
      <c r="Q65" s="36">
        <f t="shared" si="27"/>
        <v>0</v>
      </c>
      <c r="R65" s="36">
        <v>0</v>
      </c>
      <c r="S65" s="36">
        <v>0</v>
      </c>
    </row>
    <row r="66" spans="1:19" x14ac:dyDescent="0.25">
      <c r="A66" s="27">
        <v>242</v>
      </c>
      <c r="B66" s="28" t="s">
        <v>112</v>
      </c>
      <c r="C66" s="29">
        <v>250</v>
      </c>
      <c r="D66" s="30">
        <v>0</v>
      </c>
      <c r="E66" s="31">
        <v>250</v>
      </c>
      <c r="F66" s="29">
        <v>0</v>
      </c>
      <c r="G66" s="32">
        <f t="shared" si="23"/>
        <v>250</v>
      </c>
      <c r="H66" s="49">
        <f>250</f>
        <v>250</v>
      </c>
      <c r="I66" s="32">
        <v>0</v>
      </c>
      <c r="J66" s="38">
        <v>0</v>
      </c>
      <c r="K66" s="38">
        <v>0</v>
      </c>
      <c r="L66" s="34">
        <f t="shared" si="24"/>
        <v>250</v>
      </c>
      <c r="M66" s="34">
        <f t="shared" si="25"/>
        <v>0</v>
      </c>
      <c r="N66" s="34">
        <f t="shared" si="26"/>
        <v>250</v>
      </c>
      <c r="O66" s="39">
        <v>0</v>
      </c>
      <c r="P66" s="35">
        <f t="shared" si="9"/>
        <v>0</v>
      </c>
      <c r="Q66" s="36">
        <f t="shared" si="27"/>
        <v>0</v>
      </c>
      <c r="R66" s="36">
        <f>SUM(J66/G66*100%)</f>
        <v>0</v>
      </c>
      <c r="S66" s="36">
        <f>SUM(K66/G66*100%)</f>
        <v>0</v>
      </c>
    </row>
    <row r="67" spans="1:19" x14ac:dyDescent="0.25">
      <c r="A67" s="27" t="s">
        <v>113</v>
      </c>
      <c r="B67" s="28" t="s">
        <v>114</v>
      </c>
      <c r="C67" s="29">
        <v>1500</v>
      </c>
      <c r="D67" s="30">
        <v>0</v>
      </c>
      <c r="E67" s="31">
        <v>1500</v>
      </c>
      <c r="F67" s="29">
        <v>-300</v>
      </c>
      <c r="G67" s="32">
        <f t="shared" si="23"/>
        <v>1200</v>
      </c>
      <c r="H67" s="49">
        <f>200</f>
        <v>200</v>
      </c>
      <c r="I67" s="32">
        <v>0</v>
      </c>
      <c r="J67" s="38">
        <v>0</v>
      </c>
      <c r="K67" s="38">
        <v>0</v>
      </c>
      <c r="L67" s="34">
        <f t="shared" si="24"/>
        <v>200</v>
      </c>
      <c r="M67" s="34">
        <f t="shared" si="25"/>
        <v>1000</v>
      </c>
      <c r="N67" s="34">
        <f t="shared" si="26"/>
        <v>1200</v>
      </c>
      <c r="O67" s="39">
        <v>0</v>
      </c>
      <c r="P67" s="35">
        <f t="shared" si="9"/>
        <v>0</v>
      </c>
      <c r="Q67" s="36">
        <f t="shared" si="27"/>
        <v>0</v>
      </c>
      <c r="R67" s="36">
        <f>SUM(J67/G67*100%)</f>
        <v>0</v>
      </c>
      <c r="S67" s="36">
        <f>SUM(K67/G67*100%)</f>
        <v>0</v>
      </c>
    </row>
    <row r="68" spans="1:19" x14ac:dyDescent="0.25">
      <c r="A68" s="27">
        <v>244</v>
      </c>
      <c r="B68" s="28" t="s">
        <v>115</v>
      </c>
      <c r="C68" s="40">
        <v>0</v>
      </c>
      <c r="D68" s="30">
        <v>0</v>
      </c>
      <c r="E68" s="41">
        <v>0</v>
      </c>
      <c r="F68" s="40"/>
      <c r="G68" s="32">
        <f t="shared" si="23"/>
        <v>0</v>
      </c>
      <c r="H68" s="49">
        <v>0</v>
      </c>
      <c r="I68" s="32">
        <v>0</v>
      </c>
      <c r="J68" s="38">
        <v>0</v>
      </c>
      <c r="K68" s="38">
        <v>0</v>
      </c>
      <c r="L68" s="34">
        <f t="shared" si="24"/>
        <v>0</v>
      </c>
      <c r="M68" s="34">
        <f t="shared" si="25"/>
        <v>0</v>
      </c>
      <c r="N68" s="34">
        <f t="shared" si="26"/>
        <v>0</v>
      </c>
      <c r="O68" s="39">
        <v>0</v>
      </c>
      <c r="P68" s="35">
        <f t="shared" si="9"/>
        <v>0</v>
      </c>
      <c r="Q68" s="36">
        <v>0</v>
      </c>
      <c r="R68" s="36">
        <v>0</v>
      </c>
      <c r="S68" s="36">
        <v>0</v>
      </c>
    </row>
    <row r="69" spans="1:19" x14ac:dyDescent="0.25">
      <c r="A69" s="37" t="s">
        <v>116</v>
      </c>
      <c r="B69" s="28" t="s">
        <v>117</v>
      </c>
      <c r="C69" s="29">
        <v>250</v>
      </c>
      <c r="D69" s="30">
        <v>0</v>
      </c>
      <c r="E69" s="31">
        <v>250</v>
      </c>
      <c r="F69" s="29">
        <v>1608</v>
      </c>
      <c r="G69" s="32">
        <f t="shared" si="23"/>
        <v>1858</v>
      </c>
      <c r="H69" s="49">
        <f>1858</f>
        <v>1858</v>
      </c>
      <c r="I69" s="32">
        <v>0</v>
      </c>
      <c r="J69" s="38">
        <f>213.14</f>
        <v>213.14</v>
      </c>
      <c r="K69" s="38">
        <f>352.66</f>
        <v>352.66</v>
      </c>
      <c r="L69" s="34">
        <f t="shared" si="24"/>
        <v>1505.34</v>
      </c>
      <c r="M69" s="34">
        <f t="shared" si="25"/>
        <v>0</v>
      </c>
      <c r="N69" s="34">
        <f t="shared" si="26"/>
        <v>1505.34</v>
      </c>
      <c r="O69" s="39">
        <v>0</v>
      </c>
      <c r="P69" s="35">
        <f t="shared" si="9"/>
        <v>352.66</v>
      </c>
      <c r="Q69" s="36">
        <f>SUM(K69/H69*100%)</f>
        <v>0.18980624327233586</v>
      </c>
      <c r="R69" s="36">
        <f>SUM(J69/G69*100%)</f>
        <v>0.11471474703982776</v>
      </c>
      <c r="S69" s="36">
        <f>SUM(K69/G69*100%)</f>
        <v>0.18980624327233586</v>
      </c>
    </row>
    <row r="70" spans="1:19" x14ac:dyDescent="0.25">
      <c r="A70" s="37">
        <v>252</v>
      </c>
      <c r="B70" s="28" t="s">
        <v>118</v>
      </c>
      <c r="C70" s="40">
        <v>0</v>
      </c>
      <c r="D70" s="30">
        <v>0</v>
      </c>
      <c r="E70" s="41">
        <v>0</v>
      </c>
      <c r="F70" s="40"/>
      <c r="G70" s="32">
        <f t="shared" si="23"/>
        <v>0</v>
      </c>
      <c r="H70" s="49">
        <v>0</v>
      </c>
      <c r="I70" s="32">
        <v>0</v>
      </c>
      <c r="J70" s="38">
        <v>0</v>
      </c>
      <c r="K70" s="38">
        <v>0</v>
      </c>
      <c r="L70" s="34">
        <f t="shared" si="24"/>
        <v>0</v>
      </c>
      <c r="M70" s="34">
        <f t="shared" si="25"/>
        <v>0</v>
      </c>
      <c r="N70" s="34">
        <f t="shared" si="26"/>
        <v>0</v>
      </c>
      <c r="O70" s="39">
        <v>0</v>
      </c>
      <c r="P70" s="35">
        <f t="shared" si="9"/>
        <v>0</v>
      </c>
      <c r="Q70" s="36">
        <v>0</v>
      </c>
      <c r="R70" s="36">
        <v>0</v>
      </c>
      <c r="S70" s="36">
        <v>0</v>
      </c>
    </row>
    <row r="71" spans="1:19" x14ac:dyDescent="0.25">
      <c r="A71" s="27" t="s">
        <v>119</v>
      </c>
      <c r="B71" s="28" t="s">
        <v>120</v>
      </c>
      <c r="C71" s="40">
        <v>0</v>
      </c>
      <c r="D71" s="30">
        <v>0</v>
      </c>
      <c r="E71" s="41">
        <v>0</v>
      </c>
      <c r="F71" s="40"/>
      <c r="G71" s="32">
        <f t="shared" si="23"/>
        <v>0</v>
      </c>
      <c r="H71" s="49">
        <v>0</v>
      </c>
      <c r="I71" s="32">
        <v>0</v>
      </c>
      <c r="J71" s="38">
        <v>0</v>
      </c>
      <c r="K71" s="38">
        <v>0</v>
      </c>
      <c r="L71" s="34">
        <f t="shared" si="24"/>
        <v>0</v>
      </c>
      <c r="M71" s="34">
        <f t="shared" si="25"/>
        <v>0</v>
      </c>
      <c r="N71" s="34">
        <f t="shared" si="26"/>
        <v>0</v>
      </c>
      <c r="O71" s="39">
        <v>0</v>
      </c>
      <c r="P71" s="35">
        <f t="shared" si="9"/>
        <v>0</v>
      </c>
      <c r="Q71" s="36">
        <v>0</v>
      </c>
      <c r="R71" s="36">
        <v>0</v>
      </c>
      <c r="S71" s="36">
        <v>0</v>
      </c>
    </row>
    <row r="72" spans="1:19" x14ac:dyDescent="0.25">
      <c r="A72" s="27" t="s">
        <v>121</v>
      </c>
      <c r="B72" s="28" t="s">
        <v>122</v>
      </c>
      <c r="C72" s="40">
        <v>0</v>
      </c>
      <c r="D72" s="30">
        <v>0</v>
      </c>
      <c r="E72" s="41">
        <v>0</v>
      </c>
      <c r="F72" s="40">
        <v>200</v>
      </c>
      <c r="G72" s="32">
        <f t="shared" si="23"/>
        <v>200</v>
      </c>
      <c r="H72" s="49">
        <f>200</f>
        <v>200</v>
      </c>
      <c r="I72" s="32">
        <v>0</v>
      </c>
      <c r="J72" s="38">
        <v>0</v>
      </c>
      <c r="K72" s="38">
        <v>0</v>
      </c>
      <c r="L72" s="34">
        <f t="shared" si="24"/>
        <v>200</v>
      </c>
      <c r="M72" s="34">
        <f t="shared" si="25"/>
        <v>0</v>
      </c>
      <c r="N72" s="34">
        <f t="shared" si="26"/>
        <v>200</v>
      </c>
      <c r="O72" s="39">
        <v>0</v>
      </c>
      <c r="P72" s="35">
        <f t="shared" si="9"/>
        <v>0</v>
      </c>
      <c r="Q72" s="36">
        <f>SUM(K72/H72*100%)</f>
        <v>0</v>
      </c>
      <c r="R72" s="36">
        <v>0</v>
      </c>
      <c r="S72" s="36">
        <v>0</v>
      </c>
    </row>
    <row r="73" spans="1:19" x14ac:dyDescent="0.25">
      <c r="A73" s="27" t="s">
        <v>123</v>
      </c>
      <c r="B73" s="28" t="s">
        <v>124</v>
      </c>
      <c r="C73" s="40">
        <v>0</v>
      </c>
      <c r="D73" s="30">
        <v>0</v>
      </c>
      <c r="E73" s="41">
        <v>0</v>
      </c>
      <c r="F73" s="40"/>
      <c r="G73" s="32">
        <f t="shared" si="23"/>
        <v>0</v>
      </c>
      <c r="H73" s="49">
        <v>0</v>
      </c>
      <c r="I73" s="32">
        <v>0</v>
      </c>
      <c r="J73" s="38">
        <v>0</v>
      </c>
      <c r="K73" s="38">
        <v>0</v>
      </c>
      <c r="L73" s="34">
        <f t="shared" si="24"/>
        <v>0</v>
      </c>
      <c r="M73" s="34">
        <f t="shared" si="25"/>
        <v>0</v>
      </c>
      <c r="N73" s="34">
        <f t="shared" si="26"/>
        <v>0</v>
      </c>
      <c r="O73" s="39">
        <v>0</v>
      </c>
      <c r="P73" s="35">
        <f t="shared" si="9"/>
        <v>0</v>
      </c>
      <c r="Q73" s="36">
        <v>0</v>
      </c>
      <c r="R73" s="36">
        <v>0</v>
      </c>
      <c r="S73" s="36">
        <v>0</v>
      </c>
    </row>
    <row r="74" spans="1:19" x14ac:dyDescent="0.25">
      <c r="A74" s="27">
        <v>256</v>
      </c>
      <c r="B74" s="28" t="s">
        <v>125</v>
      </c>
      <c r="C74" s="40">
        <v>0</v>
      </c>
      <c r="D74" s="30">
        <v>0</v>
      </c>
      <c r="E74" s="41">
        <v>0</v>
      </c>
      <c r="F74" s="40">
        <v>100</v>
      </c>
      <c r="G74" s="32">
        <f t="shared" si="23"/>
        <v>100</v>
      </c>
      <c r="H74" s="49">
        <f>100</f>
        <v>100</v>
      </c>
      <c r="I74" s="32">
        <v>0</v>
      </c>
      <c r="J74" s="38">
        <v>0</v>
      </c>
      <c r="K74" s="38">
        <v>0</v>
      </c>
      <c r="L74" s="34">
        <f t="shared" si="24"/>
        <v>100</v>
      </c>
      <c r="M74" s="34">
        <f t="shared" si="25"/>
        <v>0</v>
      </c>
      <c r="N74" s="34">
        <f t="shared" si="26"/>
        <v>100</v>
      </c>
      <c r="O74" s="39">
        <v>0</v>
      </c>
      <c r="P74" s="35">
        <f t="shared" si="9"/>
        <v>0</v>
      </c>
      <c r="Q74" s="36">
        <f>SUM(K74/H74*100%)</f>
        <v>0</v>
      </c>
      <c r="R74" s="36">
        <v>0</v>
      </c>
      <c r="S74" s="36">
        <v>0</v>
      </c>
    </row>
    <row r="75" spans="1:19" x14ac:dyDescent="0.25">
      <c r="A75" s="27">
        <v>259</v>
      </c>
      <c r="B75" s="28" t="s">
        <v>126</v>
      </c>
      <c r="C75" s="40">
        <v>0</v>
      </c>
      <c r="D75" s="30">
        <v>0</v>
      </c>
      <c r="E75" s="41">
        <v>0</v>
      </c>
      <c r="F75" s="40">
        <v>308</v>
      </c>
      <c r="G75" s="32">
        <f t="shared" si="23"/>
        <v>308</v>
      </c>
      <c r="H75" s="49">
        <f>308</f>
        <v>308</v>
      </c>
      <c r="I75" s="32">
        <v>0</v>
      </c>
      <c r="J75" s="38">
        <f>6.41</f>
        <v>6.41</v>
      </c>
      <c r="K75" s="38">
        <f>6.41</f>
        <v>6.41</v>
      </c>
      <c r="L75" s="34">
        <f t="shared" si="24"/>
        <v>301.58999999999997</v>
      </c>
      <c r="M75" s="34">
        <f t="shared" si="25"/>
        <v>0</v>
      </c>
      <c r="N75" s="34">
        <f t="shared" si="26"/>
        <v>301.58999999999997</v>
      </c>
      <c r="O75" s="39">
        <v>0</v>
      </c>
      <c r="P75" s="35">
        <f t="shared" ref="P75:P102" si="28">K75-O75</f>
        <v>6.41</v>
      </c>
      <c r="Q75" s="36">
        <f>SUM(K75/H75*100%)</f>
        <v>2.0811688311688312E-2</v>
      </c>
      <c r="R75" s="36">
        <v>0</v>
      </c>
      <c r="S75" s="36">
        <v>0</v>
      </c>
    </row>
    <row r="76" spans="1:19" x14ac:dyDescent="0.25">
      <c r="A76" s="27" t="s">
        <v>127</v>
      </c>
      <c r="B76" s="28" t="s">
        <v>128</v>
      </c>
      <c r="C76" s="40">
        <v>0</v>
      </c>
      <c r="D76" s="30">
        <v>0</v>
      </c>
      <c r="E76" s="41">
        <v>0</v>
      </c>
      <c r="F76" s="40"/>
      <c r="G76" s="32">
        <f t="shared" si="23"/>
        <v>0</v>
      </c>
      <c r="H76" s="49">
        <v>0</v>
      </c>
      <c r="I76" s="32">
        <v>0</v>
      </c>
      <c r="J76" s="38">
        <v>0</v>
      </c>
      <c r="K76" s="38">
        <v>0</v>
      </c>
      <c r="L76" s="34">
        <f t="shared" si="24"/>
        <v>0</v>
      </c>
      <c r="M76" s="34">
        <f t="shared" si="25"/>
        <v>0</v>
      </c>
      <c r="N76" s="34">
        <f t="shared" si="26"/>
        <v>0</v>
      </c>
      <c r="O76" s="39">
        <v>0</v>
      </c>
      <c r="P76" s="35">
        <f t="shared" si="28"/>
        <v>0</v>
      </c>
      <c r="Q76" s="36">
        <v>0</v>
      </c>
      <c r="R76" s="36">
        <v>0</v>
      </c>
      <c r="S76" s="36">
        <v>0</v>
      </c>
    </row>
    <row r="77" spans="1:19" x14ac:dyDescent="0.25">
      <c r="A77" s="27">
        <v>262</v>
      </c>
      <c r="B77" s="28" t="s">
        <v>129</v>
      </c>
      <c r="C77" s="40">
        <v>0</v>
      </c>
      <c r="D77" s="30">
        <v>0</v>
      </c>
      <c r="E77" s="41">
        <v>0</v>
      </c>
      <c r="F77" s="40"/>
      <c r="G77" s="32">
        <f t="shared" si="23"/>
        <v>0</v>
      </c>
      <c r="H77" s="49">
        <v>0</v>
      </c>
      <c r="I77" s="32">
        <v>0</v>
      </c>
      <c r="J77" s="38">
        <v>0</v>
      </c>
      <c r="K77" s="38">
        <v>0</v>
      </c>
      <c r="L77" s="34">
        <f t="shared" si="24"/>
        <v>0</v>
      </c>
      <c r="M77" s="34">
        <f t="shared" si="25"/>
        <v>0</v>
      </c>
      <c r="N77" s="34">
        <f t="shared" si="26"/>
        <v>0</v>
      </c>
      <c r="O77" s="39">
        <v>0</v>
      </c>
      <c r="P77" s="35">
        <f t="shared" si="28"/>
        <v>0</v>
      </c>
      <c r="Q77" s="36">
        <v>0</v>
      </c>
      <c r="R77" s="36">
        <v>0</v>
      </c>
      <c r="S77" s="36">
        <v>0</v>
      </c>
    </row>
    <row r="78" spans="1:19" x14ac:dyDescent="0.25">
      <c r="A78" s="37" t="s">
        <v>130</v>
      </c>
      <c r="B78" s="28" t="s">
        <v>131</v>
      </c>
      <c r="C78" s="29">
        <v>1000</v>
      </c>
      <c r="D78" s="30">
        <v>0</v>
      </c>
      <c r="E78" s="31">
        <v>1000</v>
      </c>
      <c r="F78" s="29">
        <v>-107</v>
      </c>
      <c r="G78" s="32">
        <f t="shared" si="23"/>
        <v>893</v>
      </c>
      <c r="H78" s="49">
        <f>393</f>
        <v>393</v>
      </c>
      <c r="I78" s="32">
        <v>0</v>
      </c>
      <c r="J78" s="38">
        <f>92.29</f>
        <v>92.29</v>
      </c>
      <c r="K78" s="38">
        <f>92.29</f>
        <v>92.29</v>
      </c>
      <c r="L78" s="34">
        <f t="shared" si="24"/>
        <v>300.70999999999998</v>
      </c>
      <c r="M78" s="34">
        <f t="shared" si="25"/>
        <v>500</v>
      </c>
      <c r="N78" s="34">
        <f t="shared" si="26"/>
        <v>800.71</v>
      </c>
      <c r="O78" s="39">
        <v>0</v>
      </c>
      <c r="P78" s="35">
        <f t="shared" si="28"/>
        <v>92.29</v>
      </c>
      <c r="Q78" s="36">
        <f t="shared" ref="Q78:Q86" si="29">SUM(K78/H78*100%)</f>
        <v>0.2348346055979644</v>
      </c>
      <c r="R78" s="36">
        <f>SUM(J78/G78*100%)</f>
        <v>0.10334826427771557</v>
      </c>
      <c r="S78" s="36">
        <f>SUM(K78/G78*100%)</f>
        <v>0.10334826427771557</v>
      </c>
    </row>
    <row r="79" spans="1:19" x14ac:dyDescent="0.25">
      <c r="A79" s="27" t="s">
        <v>132</v>
      </c>
      <c r="B79" s="28" t="s">
        <v>133</v>
      </c>
      <c r="C79" s="40">
        <v>0</v>
      </c>
      <c r="D79" s="30">
        <v>0</v>
      </c>
      <c r="E79" s="41">
        <v>0</v>
      </c>
      <c r="F79" s="40">
        <v>8050</v>
      </c>
      <c r="G79" s="32">
        <f t="shared" si="23"/>
        <v>8050</v>
      </c>
      <c r="H79" s="49">
        <f>8050</f>
        <v>8050</v>
      </c>
      <c r="I79" s="32">
        <v>0</v>
      </c>
      <c r="J79" s="38">
        <f>269.99</f>
        <v>269.99</v>
      </c>
      <c r="K79" s="38">
        <f>269.99</f>
        <v>269.99</v>
      </c>
      <c r="L79" s="34">
        <f t="shared" si="24"/>
        <v>7780.01</v>
      </c>
      <c r="M79" s="34">
        <f t="shared" si="25"/>
        <v>0</v>
      </c>
      <c r="N79" s="34">
        <f t="shared" si="26"/>
        <v>7780.01</v>
      </c>
      <c r="O79" s="39">
        <v>0</v>
      </c>
      <c r="P79" s="35">
        <f t="shared" si="28"/>
        <v>269.99</v>
      </c>
      <c r="Q79" s="36">
        <f t="shared" si="29"/>
        <v>3.3539130434782613E-2</v>
      </c>
      <c r="R79" s="36">
        <v>0</v>
      </c>
      <c r="S79" s="36">
        <v>0</v>
      </c>
    </row>
    <row r="80" spans="1:19" x14ac:dyDescent="0.25">
      <c r="A80" s="27" t="s">
        <v>134</v>
      </c>
      <c r="B80" s="28" t="s">
        <v>135</v>
      </c>
      <c r="C80" s="29">
        <v>1000</v>
      </c>
      <c r="D80" s="30">
        <v>0</v>
      </c>
      <c r="E80" s="31">
        <v>1000</v>
      </c>
      <c r="F80" s="29">
        <v>-698</v>
      </c>
      <c r="G80" s="32">
        <f t="shared" si="23"/>
        <v>302</v>
      </c>
      <c r="H80" s="49">
        <f>302</f>
        <v>302</v>
      </c>
      <c r="I80" s="32">
        <v>0</v>
      </c>
      <c r="J80" s="38">
        <f>24.46</f>
        <v>24.46</v>
      </c>
      <c r="K80" s="38">
        <f>24.46</f>
        <v>24.46</v>
      </c>
      <c r="L80" s="34">
        <f t="shared" si="24"/>
        <v>277.54000000000002</v>
      </c>
      <c r="M80" s="34">
        <f t="shared" si="25"/>
        <v>0</v>
      </c>
      <c r="N80" s="34">
        <f t="shared" si="26"/>
        <v>277.54000000000002</v>
      </c>
      <c r="O80" s="39">
        <v>0</v>
      </c>
      <c r="P80" s="35">
        <f t="shared" si="28"/>
        <v>24.46</v>
      </c>
      <c r="Q80" s="36">
        <f t="shared" si="29"/>
        <v>8.0993377483443707E-2</v>
      </c>
      <c r="R80" s="36">
        <f t="shared" ref="R80:R85" si="30">SUM(J80/G80*100%)</f>
        <v>8.0993377483443707E-2</v>
      </c>
      <c r="S80" s="36">
        <f t="shared" ref="S80:S85" si="31">SUM(K80/G80*100%)</f>
        <v>8.0993377483443707E-2</v>
      </c>
    </row>
    <row r="81" spans="1:19" x14ac:dyDescent="0.25">
      <c r="A81" s="27" t="s">
        <v>136</v>
      </c>
      <c r="B81" s="28" t="s">
        <v>137</v>
      </c>
      <c r="C81" s="29">
        <v>2246</v>
      </c>
      <c r="D81" s="30">
        <v>0</v>
      </c>
      <c r="E81" s="31">
        <v>2246</v>
      </c>
      <c r="F81" s="29">
        <v>2718</v>
      </c>
      <c r="G81" s="32">
        <f t="shared" si="23"/>
        <v>4964</v>
      </c>
      <c r="H81" s="49">
        <f>4964</f>
        <v>4964</v>
      </c>
      <c r="I81" s="32">
        <v>0</v>
      </c>
      <c r="J81" s="38">
        <f>128.86</f>
        <v>128.86000000000001</v>
      </c>
      <c r="K81" s="38">
        <f>1053.02</f>
        <v>1053.02</v>
      </c>
      <c r="L81" s="34">
        <f t="shared" si="24"/>
        <v>3910.98</v>
      </c>
      <c r="M81" s="34">
        <f t="shared" si="25"/>
        <v>0</v>
      </c>
      <c r="N81" s="34">
        <f t="shared" si="26"/>
        <v>3910.98</v>
      </c>
      <c r="O81" s="39">
        <v>0</v>
      </c>
      <c r="P81" s="35">
        <f t="shared" si="28"/>
        <v>1053.02</v>
      </c>
      <c r="Q81" s="36">
        <f t="shared" si="29"/>
        <v>0.2121313456889605</v>
      </c>
      <c r="R81" s="36">
        <f t="shared" si="30"/>
        <v>2.5958904109589044E-2</v>
      </c>
      <c r="S81" s="36">
        <f t="shared" si="31"/>
        <v>0.2121313456889605</v>
      </c>
    </row>
    <row r="82" spans="1:19" x14ac:dyDescent="0.25">
      <c r="A82" s="27" t="s">
        <v>138</v>
      </c>
      <c r="B82" s="28" t="s">
        <v>139</v>
      </c>
      <c r="C82" s="29">
        <v>3047</v>
      </c>
      <c r="D82" s="30">
        <v>0</v>
      </c>
      <c r="E82" s="31">
        <v>3047</v>
      </c>
      <c r="F82" s="29">
        <v>4300</v>
      </c>
      <c r="G82" s="32">
        <f t="shared" si="23"/>
        <v>7347</v>
      </c>
      <c r="H82" s="49">
        <f>7347</f>
        <v>7347</v>
      </c>
      <c r="I82" s="32">
        <v>0</v>
      </c>
      <c r="J82" s="38">
        <f>139.29</f>
        <v>139.29</v>
      </c>
      <c r="K82" s="38">
        <f>139.29</f>
        <v>139.29</v>
      </c>
      <c r="L82" s="34">
        <f t="shared" si="24"/>
        <v>7207.71</v>
      </c>
      <c r="M82" s="34">
        <f t="shared" si="25"/>
        <v>0</v>
      </c>
      <c r="N82" s="34">
        <f t="shared" si="26"/>
        <v>7207.71</v>
      </c>
      <c r="O82" s="39">
        <v>0</v>
      </c>
      <c r="P82" s="35">
        <f t="shared" si="28"/>
        <v>139.29</v>
      </c>
      <c r="Q82" s="36">
        <f t="shared" si="29"/>
        <v>1.8958758677011023E-2</v>
      </c>
      <c r="R82" s="36">
        <f t="shared" si="30"/>
        <v>1.8958758677011023E-2</v>
      </c>
      <c r="S82" s="36">
        <f t="shared" si="31"/>
        <v>1.8958758677011023E-2</v>
      </c>
    </row>
    <row r="83" spans="1:19" x14ac:dyDescent="0.25">
      <c r="A83" s="27" t="s">
        <v>140</v>
      </c>
      <c r="B83" s="28" t="s">
        <v>141</v>
      </c>
      <c r="C83" s="29">
        <v>500</v>
      </c>
      <c r="D83" s="30">
        <v>0</v>
      </c>
      <c r="E83" s="31">
        <v>500</v>
      </c>
      <c r="F83" s="29">
        <v>-200</v>
      </c>
      <c r="G83" s="32">
        <f t="shared" si="23"/>
        <v>300</v>
      </c>
      <c r="H83" s="49">
        <f>300</f>
        <v>300</v>
      </c>
      <c r="I83" s="32">
        <v>0</v>
      </c>
      <c r="J83" s="38">
        <v>0</v>
      </c>
      <c r="K83" s="38">
        <v>0</v>
      </c>
      <c r="L83" s="34">
        <f t="shared" si="24"/>
        <v>300</v>
      </c>
      <c r="M83" s="34">
        <f t="shared" si="25"/>
        <v>0</v>
      </c>
      <c r="N83" s="34">
        <f t="shared" si="26"/>
        <v>300</v>
      </c>
      <c r="O83" s="39">
        <v>0</v>
      </c>
      <c r="P83" s="35">
        <f t="shared" si="28"/>
        <v>0</v>
      </c>
      <c r="Q83" s="36">
        <f t="shared" si="29"/>
        <v>0</v>
      </c>
      <c r="R83" s="36">
        <f t="shared" si="30"/>
        <v>0</v>
      </c>
      <c r="S83" s="36">
        <f t="shared" si="31"/>
        <v>0</v>
      </c>
    </row>
    <row r="84" spans="1:19" x14ac:dyDescent="0.25">
      <c r="A84" s="37" t="s">
        <v>142</v>
      </c>
      <c r="B84" s="28" t="s">
        <v>143</v>
      </c>
      <c r="C84" s="29">
        <v>1134</v>
      </c>
      <c r="D84" s="30">
        <v>0</v>
      </c>
      <c r="E84" s="31">
        <v>1134</v>
      </c>
      <c r="F84" s="29">
        <v>0</v>
      </c>
      <c r="G84" s="32">
        <f t="shared" si="23"/>
        <v>1134</v>
      </c>
      <c r="H84" s="49">
        <f>134</f>
        <v>134</v>
      </c>
      <c r="I84" s="32">
        <v>0</v>
      </c>
      <c r="J84" s="38">
        <v>0</v>
      </c>
      <c r="K84" s="38">
        <v>0</v>
      </c>
      <c r="L84" s="34">
        <f t="shared" si="24"/>
        <v>134</v>
      </c>
      <c r="M84" s="34">
        <f t="shared" si="25"/>
        <v>1000</v>
      </c>
      <c r="N84" s="34">
        <f t="shared" si="26"/>
        <v>1134</v>
      </c>
      <c r="O84" s="39">
        <v>0</v>
      </c>
      <c r="P84" s="35">
        <f t="shared" si="28"/>
        <v>0</v>
      </c>
      <c r="Q84" s="36">
        <f t="shared" si="29"/>
        <v>0</v>
      </c>
      <c r="R84" s="36">
        <f t="shared" si="30"/>
        <v>0</v>
      </c>
      <c r="S84" s="36">
        <f t="shared" si="31"/>
        <v>0</v>
      </c>
    </row>
    <row r="85" spans="1:19" x14ac:dyDescent="0.25">
      <c r="A85" s="37">
        <v>291</v>
      </c>
      <c r="B85" s="28"/>
      <c r="C85" s="29"/>
      <c r="D85" s="30"/>
      <c r="E85" s="31"/>
      <c r="F85" s="29">
        <v>280</v>
      </c>
      <c r="G85" s="32">
        <f t="shared" si="23"/>
        <v>280</v>
      </c>
      <c r="H85" s="49">
        <f>280</f>
        <v>280</v>
      </c>
      <c r="I85" s="32"/>
      <c r="J85" s="38">
        <f>170</f>
        <v>170</v>
      </c>
      <c r="K85" s="38">
        <f>170</f>
        <v>170</v>
      </c>
      <c r="L85" s="34">
        <f t="shared" si="24"/>
        <v>110</v>
      </c>
      <c r="M85" s="34"/>
      <c r="N85" s="34">
        <f t="shared" si="26"/>
        <v>110</v>
      </c>
      <c r="O85" s="39"/>
      <c r="P85" s="35">
        <f t="shared" si="28"/>
        <v>170</v>
      </c>
      <c r="Q85" s="36">
        <f t="shared" si="29"/>
        <v>0.6071428571428571</v>
      </c>
      <c r="R85" s="36">
        <f t="shared" si="30"/>
        <v>0.6071428571428571</v>
      </c>
      <c r="S85" s="36">
        <f t="shared" si="31"/>
        <v>0.6071428571428571</v>
      </c>
    </row>
    <row r="86" spans="1:19" x14ac:dyDescent="0.25">
      <c r="A86" s="27">
        <v>292</v>
      </c>
      <c r="B86" s="28" t="s">
        <v>144</v>
      </c>
      <c r="C86" s="40">
        <v>0</v>
      </c>
      <c r="D86" s="30">
        <v>0</v>
      </c>
      <c r="E86" s="41">
        <v>0</v>
      </c>
      <c r="F86" s="40">
        <v>399</v>
      </c>
      <c r="G86" s="32">
        <f t="shared" si="23"/>
        <v>399</v>
      </c>
      <c r="H86" s="49">
        <f>399</f>
        <v>399</v>
      </c>
      <c r="I86" s="32">
        <v>0</v>
      </c>
      <c r="J86" s="38">
        <v>0</v>
      </c>
      <c r="K86" s="38">
        <v>0</v>
      </c>
      <c r="L86" s="34">
        <f t="shared" si="24"/>
        <v>399</v>
      </c>
      <c r="M86" s="34">
        <f>SUM(G86-H86)</f>
        <v>0</v>
      </c>
      <c r="N86" s="34">
        <f t="shared" si="26"/>
        <v>399</v>
      </c>
      <c r="O86" s="39">
        <v>0</v>
      </c>
      <c r="P86" s="35">
        <f t="shared" si="28"/>
        <v>0</v>
      </c>
      <c r="Q86" s="36">
        <f t="shared" si="29"/>
        <v>0</v>
      </c>
      <c r="R86" s="36">
        <v>0</v>
      </c>
      <c r="S86" s="36">
        <v>0</v>
      </c>
    </row>
    <row r="87" spans="1:19" ht="15.75" thickBot="1" x14ac:dyDescent="0.3">
      <c r="A87" s="27">
        <v>297</v>
      </c>
      <c r="B87" s="28" t="s">
        <v>145</v>
      </c>
      <c r="C87" s="40">
        <v>0</v>
      </c>
      <c r="D87" s="30">
        <v>0</v>
      </c>
      <c r="E87" s="41">
        <v>0</v>
      </c>
      <c r="F87" s="40"/>
      <c r="G87" s="32">
        <f t="shared" si="23"/>
        <v>0</v>
      </c>
      <c r="H87" s="49">
        <v>0</v>
      </c>
      <c r="I87" s="32">
        <v>0</v>
      </c>
      <c r="J87" s="38">
        <v>0</v>
      </c>
      <c r="K87" s="38">
        <v>0</v>
      </c>
      <c r="L87" s="34">
        <f t="shared" si="24"/>
        <v>0</v>
      </c>
      <c r="M87" s="34">
        <f>SUM(G87-H87)</f>
        <v>0</v>
      </c>
      <c r="N87" s="34">
        <f t="shared" si="26"/>
        <v>0</v>
      </c>
      <c r="O87" s="39">
        <v>0</v>
      </c>
      <c r="P87" s="35">
        <f t="shared" si="28"/>
        <v>0</v>
      </c>
      <c r="Q87" s="36">
        <v>0</v>
      </c>
      <c r="R87" s="36">
        <v>0</v>
      </c>
      <c r="S87" s="36">
        <v>0</v>
      </c>
    </row>
    <row r="88" spans="1:19" ht="15.75" thickBot="1" x14ac:dyDescent="0.3">
      <c r="A88" s="50">
        <v>3</v>
      </c>
      <c r="B88" s="44" t="s">
        <v>146</v>
      </c>
      <c r="C88" s="51">
        <f t="shared" ref="C88:P88" si="32">SUM(C89:C95)</f>
        <v>0</v>
      </c>
      <c r="D88" s="52">
        <f t="shared" si="32"/>
        <v>0</v>
      </c>
      <c r="E88" s="53">
        <f>SUM(E89:E95)</f>
        <v>0</v>
      </c>
      <c r="F88" s="119">
        <f>SUM(F89:F95)</f>
        <v>0</v>
      </c>
      <c r="G88" s="54">
        <f t="shared" ref="G88:G113" si="33">SUM(E88+F88)</f>
        <v>0</v>
      </c>
      <c r="H88" s="52">
        <f t="shared" si="32"/>
        <v>0</v>
      </c>
      <c r="I88" s="52">
        <f t="shared" si="32"/>
        <v>0</v>
      </c>
      <c r="J88" s="52">
        <f t="shared" si="32"/>
        <v>0</v>
      </c>
      <c r="K88" s="52">
        <f t="shared" si="32"/>
        <v>0</v>
      </c>
      <c r="L88" s="52">
        <f t="shared" si="32"/>
        <v>0</v>
      </c>
      <c r="M88" s="52">
        <f t="shared" si="32"/>
        <v>0</v>
      </c>
      <c r="N88" s="52">
        <f t="shared" si="32"/>
        <v>0</v>
      </c>
      <c r="O88" s="53">
        <f t="shared" si="32"/>
        <v>0</v>
      </c>
      <c r="P88" s="51">
        <f t="shared" si="32"/>
        <v>0</v>
      </c>
      <c r="Q88" s="25">
        <v>0</v>
      </c>
      <c r="R88" s="48">
        <v>0</v>
      </c>
      <c r="S88" s="15">
        <v>0</v>
      </c>
    </row>
    <row r="89" spans="1:19" x14ac:dyDescent="0.25">
      <c r="A89" s="27" t="s">
        <v>147</v>
      </c>
      <c r="B89" s="55" t="s">
        <v>148</v>
      </c>
      <c r="C89" s="56">
        <v>0</v>
      </c>
      <c r="D89" s="30">
        <v>0</v>
      </c>
      <c r="E89" s="57">
        <v>0</v>
      </c>
      <c r="F89" s="120">
        <v>0</v>
      </c>
      <c r="G89" s="32">
        <f t="shared" si="33"/>
        <v>0</v>
      </c>
      <c r="H89" s="34">
        <f t="shared" ref="H89:H95" si="34">SUM(D89-G89)</f>
        <v>0</v>
      </c>
      <c r="I89" s="32">
        <v>0</v>
      </c>
      <c r="J89" s="38">
        <v>0</v>
      </c>
      <c r="K89" s="38">
        <v>0</v>
      </c>
      <c r="L89" s="34">
        <f t="shared" ref="L89:L95" si="35">SUM(H89-K89)</f>
        <v>0</v>
      </c>
      <c r="M89" s="34">
        <f t="shared" ref="M89:M95" si="36">SUM(G89-H89)</f>
        <v>0</v>
      </c>
      <c r="N89" s="34">
        <f t="shared" ref="N89:N95" si="37">SUM(-I89+L89+M89)</f>
        <v>0</v>
      </c>
      <c r="O89" s="39">
        <v>0</v>
      </c>
      <c r="P89" s="35">
        <f t="shared" si="28"/>
        <v>0</v>
      </c>
      <c r="Q89" s="36">
        <v>0</v>
      </c>
      <c r="R89" s="36">
        <v>0</v>
      </c>
      <c r="S89" s="36">
        <v>0</v>
      </c>
    </row>
    <row r="90" spans="1:19" x14ac:dyDescent="0.25">
      <c r="A90" s="27">
        <v>314</v>
      </c>
      <c r="B90" s="55" t="s">
        <v>149</v>
      </c>
      <c r="C90" s="56">
        <v>0</v>
      </c>
      <c r="D90" s="30">
        <v>0</v>
      </c>
      <c r="E90" s="57">
        <v>0</v>
      </c>
      <c r="F90" s="120">
        <v>0</v>
      </c>
      <c r="G90" s="32">
        <f t="shared" si="33"/>
        <v>0</v>
      </c>
      <c r="H90" s="34">
        <f t="shared" si="34"/>
        <v>0</v>
      </c>
      <c r="I90" s="32">
        <v>0</v>
      </c>
      <c r="J90" s="38">
        <v>0</v>
      </c>
      <c r="K90" s="38">
        <v>0</v>
      </c>
      <c r="L90" s="34">
        <f t="shared" si="35"/>
        <v>0</v>
      </c>
      <c r="M90" s="34">
        <f t="shared" si="36"/>
        <v>0</v>
      </c>
      <c r="N90" s="34">
        <f t="shared" si="37"/>
        <v>0</v>
      </c>
      <c r="O90" s="39">
        <v>0</v>
      </c>
      <c r="P90" s="35">
        <f t="shared" si="28"/>
        <v>0</v>
      </c>
      <c r="Q90" s="36">
        <v>0</v>
      </c>
      <c r="R90" s="36">
        <v>0</v>
      </c>
      <c r="S90" s="36">
        <v>0</v>
      </c>
    </row>
    <row r="91" spans="1:19" x14ac:dyDescent="0.25">
      <c r="A91" s="27">
        <v>320</v>
      </c>
      <c r="B91" s="55" t="s">
        <v>150</v>
      </c>
      <c r="C91" s="56">
        <v>0</v>
      </c>
      <c r="D91" s="30">
        <v>0</v>
      </c>
      <c r="E91" s="57">
        <v>0</v>
      </c>
      <c r="F91" s="120">
        <v>0</v>
      </c>
      <c r="G91" s="32">
        <f t="shared" si="33"/>
        <v>0</v>
      </c>
      <c r="H91" s="34">
        <f t="shared" si="34"/>
        <v>0</v>
      </c>
      <c r="I91" s="32">
        <v>0</v>
      </c>
      <c r="J91" s="38">
        <v>0</v>
      </c>
      <c r="K91" s="38">
        <v>0</v>
      </c>
      <c r="L91" s="34">
        <f t="shared" si="35"/>
        <v>0</v>
      </c>
      <c r="M91" s="34">
        <f t="shared" si="36"/>
        <v>0</v>
      </c>
      <c r="N91" s="34">
        <f t="shared" si="37"/>
        <v>0</v>
      </c>
      <c r="O91" s="39">
        <v>0</v>
      </c>
      <c r="P91" s="35">
        <f t="shared" si="28"/>
        <v>0</v>
      </c>
      <c r="Q91" s="36">
        <v>0</v>
      </c>
      <c r="R91" s="36">
        <v>0</v>
      </c>
      <c r="S91" s="36">
        <v>0</v>
      </c>
    </row>
    <row r="92" spans="1:19" x14ac:dyDescent="0.25">
      <c r="A92" s="27" t="s">
        <v>151</v>
      </c>
      <c r="B92" s="55" t="s">
        <v>152</v>
      </c>
      <c r="C92" s="56">
        <v>0</v>
      </c>
      <c r="D92" s="30">
        <v>0</v>
      </c>
      <c r="E92" s="57">
        <v>0</v>
      </c>
      <c r="F92" s="120">
        <v>0</v>
      </c>
      <c r="G92" s="32">
        <f t="shared" si="33"/>
        <v>0</v>
      </c>
      <c r="H92" s="34">
        <f t="shared" si="34"/>
        <v>0</v>
      </c>
      <c r="I92" s="32">
        <v>0</v>
      </c>
      <c r="J92" s="38">
        <v>0</v>
      </c>
      <c r="K92" s="38">
        <v>0</v>
      </c>
      <c r="L92" s="34">
        <f t="shared" si="35"/>
        <v>0</v>
      </c>
      <c r="M92" s="34">
        <f t="shared" si="36"/>
        <v>0</v>
      </c>
      <c r="N92" s="34">
        <f t="shared" si="37"/>
        <v>0</v>
      </c>
      <c r="O92" s="39">
        <v>0</v>
      </c>
      <c r="P92" s="35">
        <f t="shared" si="28"/>
        <v>0</v>
      </c>
      <c r="Q92" s="36">
        <v>0</v>
      </c>
      <c r="R92" s="36">
        <v>0</v>
      </c>
      <c r="S92" s="36">
        <v>0</v>
      </c>
    </row>
    <row r="93" spans="1:19" x14ac:dyDescent="0.25">
      <c r="A93" s="27" t="s">
        <v>153</v>
      </c>
      <c r="B93" s="55" t="s">
        <v>154</v>
      </c>
      <c r="C93" s="56">
        <v>0</v>
      </c>
      <c r="D93" s="30">
        <v>0</v>
      </c>
      <c r="E93" s="57">
        <v>0</v>
      </c>
      <c r="F93" s="120">
        <v>0</v>
      </c>
      <c r="G93" s="32">
        <f t="shared" si="33"/>
        <v>0</v>
      </c>
      <c r="H93" s="34">
        <f t="shared" si="34"/>
        <v>0</v>
      </c>
      <c r="I93" s="32">
        <v>0</v>
      </c>
      <c r="J93" s="38">
        <v>0</v>
      </c>
      <c r="K93" s="38">
        <v>0</v>
      </c>
      <c r="L93" s="34">
        <f t="shared" si="35"/>
        <v>0</v>
      </c>
      <c r="M93" s="34">
        <f t="shared" si="36"/>
        <v>0</v>
      </c>
      <c r="N93" s="34">
        <f t="shared" si="37"/>
        <v>0</v>
      </c>
      <c r="O93" s="39">
        <v>0</v>
      </c>
      <c r="P93" s="35">
        <f t="shared" si="28"/>
        <v>0</v>
      </c>
      <c r="Q93" s="36">
        <v>0</v>
      </c>
      <c r="R93" s="36">
        <v>0</v>
      </c>
      <c r="S93" s="36">
        <v>0</v>
      </c>
    </row>
    <row r="94" spans="1:19" x14ac:dyDescent="0.25">
      <c r="A94" s="27" t="s">
        <v>155</v>
      </c>
      <c r="B94" s="55" t="s">
        <v>146</v>
      </c>
      <c r="C94" s="56">
        <v>0</v>
      </c>
      <c r="D94" s="30">
        <v>0</v>
      </c>
      <c r="E94" s="57">
        <v>0</v>
      </c>
      <c r="F94" s="120">
        <v>0</v>
      </c>
      <c r="G94" s="32">
        <f t="shared" si="33"/>
        <v>0</v>
      </c>
      <c r="H94" s="34">
        <f t="shared" si="34"/>
        <v>0</v>
      </c>
      <c r="I94" s="32">
        <v>0</v>
      </c>
      <c r="J94" s="38">
        <v>0</v>
      </c>
      <c r="K94" s="38">
        <v>0</v>
      </c>
      <c r="L94" s="34">
        <f t="shared" si="35"/>
        <v>0</v>
      </c>
      <c r="M94" s="34">
        <f t="shared" si="36"/>
        <v>0</v>
      </c>
      <c r="N94" s="34">
        <f t="shared" si="37"/>
        <v>0</v>
      </c>
      <c r="O94" s="39">
        <v>0</v>
      </c>
      <c r="P94" s="35">
        <f t="shared" si="28"/>
        <v>0</v>
      </c>
      <c r="Q94" s="36">
        <v>0</v>
      </c>
      <c r="R94" s="36">
        <v>0</v>
      </c>
      <c r="S94" s="36">
        <v>0</v>
      </c>
    </row>
    <row r="95" spans="1:19" ht="15.75" thickBot="1" x14ac:dyDescent="0.3">
      <c r="A95" s="27">
        <v>380</v>
      </c>
      <c r="B95" s="55" t="s">
        <v>156</v>
      </c>
      <c r="C95" s="56">
        <v>0</v>
      </c>
      <c r="D95" s="30">
        <v>0</v>
      </c>
      <c r="E95" s="58">
        <v>0</v>
      </c>
      <c r="F95" s="121">
        <v>0</v>
      </c>
      <c r="G95" s="32">
        <f t="shared" si="33"/>
        <v>0</v>
      </c>
      <c r="H95" s="34">
        <f t="shared" si="34"/>
        <v>0</v>
      </c>
      <c r="I95" s="32">
        <v>0</v>
      </c>
      <c r="J95" s="38">
        <v>0</v>
      </c>
      <c r="K95" s="38">
        <v>0</v>
      </c>
      <c r="L95" s="34">
        <f t="shared" si="35"/>
        <v>0</v>
      </c>
      <c r="M95" s="34">
        <f t="shared" si="36"/>
        <v>0</v>
      </c>
      <c r="N95" s="34">
        <f t="shared" si="37"/>
        <v>0</v>
      </c>
      <c r="O95" s="39">
        <v>0</v>
      </c>
      <c r="P95" s="35">
        <f t="shared" si="28"/>
        <v>0</v>
      </c>
      <c r="Q95" s="36">
        <v>0</v>
      </c>
      <c r="R95" s="36">
        <v>0</v>
      </c>
      <c r="S95" s="36">
        <v>0</v>
      </c>
    </row>
    <row r="96" spans="1:19" ht="15.75" thickBot="1" x14ac:dyDescent="0.3">
      <c r="A96" s="59">
        <v>6</v>
      </c>
      <c r="B96" s="60" t="s">
        <v>157</v>
      </c>
      <c r="C96" s="61">
        <f>SUM(C98:C102)</f>
        <v>300000</v>
      </c>
      <c r="D96" s="61">
        <f>SUM(D98:D101)</f>
        <v>0</v>
      </c>
      <c r="E96" s="62">
        <f>SUM(E98:E102)</f>
        <v>300000</v>
      </c>
      <c r="F96" s="122">
        <f>SUM(F97:F102)</f>
        <v>-111458</v>
      </c>
      <c r="G96" s="54">
        <f t="shared" si="33"/>
        <v>188542</v>
      </c>
      <c r="H96" s="61">
        <f>SUM(H97:H102)</f>
        <v>188542</v>
      </c>
      <c r="I96" s="61">
        <f>SUM(I98:I101)</f>
        <v>0</v>
      </c>
      <c r="J96" s="61">
        <f>SUM(J98:J101)</f>
        <v>5005</v>
      </c>
      <c r="K96" s="63">
        <f>SUM(K97:K101)</f>
        <v>5005</v>
      </c>
      <c r="L96" s="61">
        <f>SUM(L98:L102)</f>
        <v>183537</v>
      </c>
      <c r="M96" s="61">
        <f>SUM(M98:M102)</f>
        <v>0</v>
      </c>
      <c r="N96" s="61">
        <f>SUM(N98:N102)</f>
        <v>183537</v>
      </c>
      <c r="O96" s="64">
        <f>SUM(O98:O101)</f>
        <v>0</v>
      </c>
      <c r="P96" s="65">
        <f>SUM(P98:P101)</f>
        <v>5005</v>
      </c>
      <c r="Q96" s="25">
        <f>SUM(K96/H96*100%)</f>
        <v>2.6545809421773398E-2</v>
      </c>
      <c r="R96" s="48">
        <f>SUM(J96/G96*100%)</f>
        <v>2.6545809421773398E-2</v>
      </c>
      <c r="S96" s="48">
        <f>SUM(K96/G96*100%)</f>
        <v>2.6545809421773398E-2</v>
      </c>
    </row>
    <row r="97" spans="1:19" x14ac:dyDescent="0.25">
      <c r="A97" s="37">
        <v>612</v>
      </c>
      <c r="B97" s="55" t="s">
        <v>158</v>
      </c>
      <c r="C97" s="32">
        <v>0</v>
      </c>
      <c r="D97" s="62">
        <v>0</v>
      </c>
      <c r="E97" s="66">
        <v>0</v>
      </c>
      <c r="F97" s="123"/>
      <c r="G97" s="32">
        <f t="shared" si="33"/>
        <v>0</v>
      </c>
      <c r="H97" s="49">
        <v>0</v>
      </c>
      <c r="I97" s="32">
        <v>0</v>
      </c>
      <c r="J97" s="38">
        <v>0</v>
      </c>
      <c r="K97" s="38">
        <v>0</v>
      </c>
      <c r="L97" s="67">
        <f t="shared" ref="L97:L102" si="38">SUM(H97-K97)</f>
        <v>0</v>
      </c>
      <c r="M97" s="34">
        <f t="shared" ref="M97:M102" si="39">SUM(G97-H97)</f>
        <v>0</v>
      </c>
      <c r="N97" s="67">
        <f t="shared" ref="N97:N102" si="40">SUM(-I97+L97+M97)</f>
        <v>0</v>
      </c>
      <c r="O97" s="39">
        <v>0</v>
      </c>
      <c r="P97" s="35">
        <f t="shared" si="28"/>
        <v>0</v>
      </c>
      <c r="Q97" s="36">
        <v>0</v>
      </c>
      <c r="R97" s="36">
        <v>0</v>
      </c>
      <c r="S97" s="36">
        <v>0</v>
      </c>
    </row>
    <row r="98" spans="1:19" x14ac:dyDescent="0.25">
      <c r="A98" s="37" t="s">
        <v>159</v>
      </c>
      <c r="B98" s="55" t="s">
        <v>160</v>
      </c>
      <c r="C98" s="32">
        <v>0</v>
      </c>
      <c r="D98" s="30">
        <v>0</v>
      </c>
      <c r="E98" s="41">
        <v>0</v>
      </c>
      <c r="F98" s="40">
        <v>5005</v>
      </c>
      <c r="G98" s="32">
        <f t="shared" si="33"/>
        <v>5005</v>
      </c>
      <c r="H98" s="49">
        <f>5005</f>
        <v>5005</v>
      </c>
      <c r="I98" s="32">
        <v>0</v>
      </c>
      <c r="J98" s="38">
        <f>5005</f>
        <v>5005</v>
      </c>
      <c r="K98" s="38">
        <f>5005</f>
        <v>5005</v>
      </c>
      <c r="L98" s="34">
        <f t="shared" si="38"/>
        <v>0</v>
      </c>
      <c r="M98" s="34">
        <f t="shared" si="39"/>
        <v>0</v>
      </c>
      <c r="N98" s="67">
        <f t="shared" si="40"/>
        <v>0</v>
      </c>
      <c r="O98" s="39">
        <v>0</v>
      </c>
      <c r="P98" s="35">
        <f t="shared" si="28"/>
        <v>5005</v>
      </c>
      <c r="Q98" s="36">
        <f>SUM(K98/H98*100%)</f>
        <v>1</v>
      </c>
      <c r="R98" s="36">
        <v>0</v>
      </c>
      <c r="S98" s="36">
        <v>0</v>
      </c>
    </row>
    <row r="99" spans="1:19" x14ac:dyDescent="0.25">
      <c r="A99" s="37" t="s">
        <v>161</v>
      </c>
      <c r="B99" s="55" t="s">
        <v>162</v>
      </c>
      <c r="C99" s="32">
        <v>0</v>
      </c>
      <c r="D99" s="30">
        <v>0</v>
      </c>
      <c r="E99" s="41">
        <v>0</v>
      </c>
      <c r="F99" s="40">
        <v>1250</v>
      </c>
      <c r="G99" s="32">
        <f t="shared" si="33"/>
        <v>1250</v>
      </c>
      <c r="H99" s="49">
        <f>1250</f>
        <v>1250</v>
      </c>
      <c r="I99" s="32">
        <v>0</v>
      </c>
      <c r="J99" s="38">
        <v>0</v>
      </c>
      <c r="K99" s="38">
        <v>0</v>
      </c>
      <c r="L99" s="34">
        <f t="shared" si="38"/>
        <v>1250</v>
      </c>
      <c r="M99" s="34">
        <f t="shared" si="39"/>
        <v>0</v>
      </c>
      <c r="N99" s="67">
        <f t="shared" si="40"/>
        <v>1250</v>
      </c>
      <c r="O99" s="39">
        <v>0</v>
      </c>
      <c r="P99" s="35">
        <f t="shared" si="28"/>
        <v>0</v>
      </c>
      <c r="Q99" s="36">
        <f>SUM(K99/H99*100%)</f>
        <v>0</v>
      </c>
      <c r="R99" s="36">
        <v>0</v>
      </c>
      <c r="S99" s="36">
        <v>0</v>
      </c>
    </row>
    <row r="100" spans="1:19" x14ac:dyDescent="0.25">
      <c r="A100" s="37">
        <v>669</v>
      </c>
      <c r="B100" s="55" t="s">
        <v>163</v>
      </c>
      <c r="C100" s="29">
        <v>100000</v>
      </c>
      <c r="D100" s="30">
        <v>0</v>
      </c>
      <c r="E100" s="31">
        <v>100000</v>
      </c>
      <c r="F100" s="29">
        <v>0</v>
      </c>
      <c r="G100" s="32">
        <f t="shared" si="33"/>
        <v>100000</v>
      </c>
      <c r="H100" s="49">
        <f>100000</f>
        <v>100000</v>
      </c>
      <c r="I100" s="32">
        <v>0</v>
      </c>
      <c r="J100" s="38">
        <v>0</v>
      </c>
      <c r="K100" s="38">
        <v>0</v>
      </c>
      <c r="L100" s="34">
        <f t="shared" si="38"/>
        <v>100000</v>
      </c>
      <c r="M100" s="34">
        <f t="shared" si="39"/>
        <v>0</v>
      </c>
      <c r="N100" s="67">
        <f t="shared" si="40"/>
        <v>100000</v>
      </c>
      <c r="O100" s="39">
        <v>0</v>
      </c>
      <c r="P100" s="35">
        <f t="shared" si="28"/>
        <v>0</v>
      </c>
      <c r="Q100" s="36">
        <f>SUM(K100/H100*100%)</f>
        <v>0</v>
      </c>
      <c r="R100" s="36">
        <f>SUM(J100/G100*100%)</f>
        <v>0</v>
      </c>
      <c r="S100" s="36">
        <f>SUM(K100/G100*100%)</f>
        <v>0</v>
      </c>
    </row>
    <row r="101" spans="1:19" x14ac:dyDescent="0.25">
      <c r="A101" s="37">
        <v>692</v>
      </c>
      <c r="B101" s="55" t="s">
        <v>164</v>
      </c>
      <c r="C101" s="32">
        <v>0</v>
      </c>
      <c r="D101" s="30">
        <v>0</v>
      </c>
      <c r="E101" s="41">
        <v>0</v>
      </c>
      <c r="F101" s="40"/>
      <c r="G101" s="32">
        <f t="shared" si="33"/>
        <v>0</v>
      </c>
      <c r="H101" s="49">
        <v>0</v>
      </c>
      <c r="I101" s="32">
        <v>0</v>
      </c>
      <c r="J101" s="38">
        <v>0</v>
      </c>
      <c r="K101" s="38">
        <v>0</v>
      </c>
      <c r="L101" s="34">
        <f t="shared" si="38"/>
        <v>0</v>
      </c>
      <c r="M101" s="34">
        <f t="shared" si="39"/>
        <v>0</v>
      </c>
      <c r="N101" s="67">
        <f t="shared" si="40"/>
        <v>0</v>
      </c>
      <c r="O101" s="39">
        <v>0</v>
      </c>
      <c r="P101" s="35">
        <f t="shared" si="28"/>
        <v>0</v>
      </c>
      <c r="Q101" s="36">
        <v>0</v>
      </c>
      <c r="R101" s="36">
        <v>0</v>
      </c>
      <c r="S101" s="36">
        <v>0</v>
      </c>
    </row>
    <row r="102" spans="1:19" ht="15.75" thickBot="1" x14ac:dyDescent="0.3">
      <c r="A102" s="37">
        <v>697</v>
      </c>
      <c r="B102" s="55" t="s">
        <v>165</v>
      </c>
      <c r="C102" s="29">
        <v>200000</v>
      </c>
      <c r="D102" s="30">
        <v>0</v>
      </c>
      <c r="E102" s="68">
        <v>200000</v>
      </c>
      <c r="F102" s="124">
        <v>-117713</v>
      </c>
      <c r="G102" s="32">
        <f t="shared" si="33"/>
        <v>82287</v>
      </c>
      <c r="H102" s="49">
        <f>82287</f>
        <v>82287</v>
      </c>
      <c r="I102" s="32">
        <v>0</v>
      </c>
      <c r="J102" s="38">
        <v>0</v>
      </c>
      <c r="K102" s="38">
        <v>0</v>
      </c>
      <c r="L102" s="34">
        <f t="shared" si="38"/>
        <v>82287</v>
      </c>
      <c r="M102" s="34">
        <f t="shared" si="39"/>
        <v>0</v>
      </c>
      <c r="N102" s="67">
        <f t="shared" si="40"/>
        <v>82287</v>
      </c>
      <c r="O102" s="39">
        <v>0</v>
      </c>
      <c r="P102" s="35">
        <f t="shared" si="28"/>
        <v>0</v>
      </c>
      <c r="Q102" s="36">
        <f>SUM(K102/H102*100%)</f>
        <v>0</v>
      </c>
      <c r="R102" s="36">
        <f>SUM(J102/G102*100%)</f>
        <v>0</v>
      </c>
      <c r="S102" s="36">
        <f>SUM(K102/G102*100%)</f>
        <v>0</v>
      </c>
    </row>
    <row r="103" spans="1:19" ht="15.75" thickBot="1" x14ac:dyDescent="0.3">
      <c r="A103" s="69"/>
      <c r="B103" s="70" t="s">
        <v>166</v>
      </c>
      <c r="C103" s="71">
        <f>C104+C106</f>
        <v>50000</v>
      </c>
      <c r="D103" s="71">
        <v>0</v>
      </c>
      <c r="E103" s="72">
        <f>E104+E106</f>
        <v>50000</v>
      </c>
      <c r="F103" s="125">
        <f>SUM(F104+F106)</f>
        <v>0</v>
      </c>
      <c r="G103" s="73">
        <f t="shared" si="33"/>
        <v>50000</v>
      </c>
      <c r="H103" s="74">
        <f>SUM(H104+H106)</f>
        <v>0</v>
      </c>
      <c r="I103" s="74">
        <v>0</v>
      </c>
      <c r="J103" s="75">
        <f>SUM(J104+J106)</f>
        <v>0</v>
      </c>
      <c r="K103" s="76">
        <f>SUM(K104+K106)</f>
        <v>0</v>
      </c>
      <c r="L103" s="14">
        <f>SUM(L104+L106)</f>
        <v>0</v>
      </c>
      <c r="M103" s="61">
        <f>M104+M106</f>
        <v>50000</v>
      </c>
      <c r="N103" s="61">
        <f>SUM(N104+N106)</f>
        <v>50000</v>
      </c>
      <c r="O103" s="64">
        <f>SUM(O104+O106)</f>
        <v>0</v>
      </c>
      <c r="P103" s="65">
        <f>SUM(P104+P106)</f>
        <v>0</v>
      </c>
      <c r="Q103" s="25">
        <v>0</v>
      </c>
      <c r="R103" s="48">
        <f>SUM(J103/G103*100%)</f>
        <v>0</v>
      </c>
      <c r="S103" s="48">
        <f>SUM(K103/G103*100%)</f>
        <v>0</v>
      </c>
    </row>
    <row r="104" spans="1:19" ht="15.75" thickBot="1" x14ac:dyDescent="0.3">
      <c r="A104" s="59">
        <v>2</v>
      </c>
      <c r="B104" s="60" t="s">
        <v>95</v>
      </c>
      <c r="C104" s="61">
        <v>0</v>
      </c>
      <c r="D104" s="61">
        <v>0</v>
      </c>
      <c r="E104" s="64">
        <v>0</v>
      </c>
      <c r="F104" s="126">
        <v>0</v>
      </c>
      <c r="G104" s="54">
        <f>G105</f>
        <v>0</v>
      </c>
      <c r="H104" s="61">
        <f>H105</f>
        <v>0</v>
      </c>
      <c r="I104" s="61">
        <v>0</v>
      </c>
      <c r="J104" s="61">
        <f>J105</f>
        <v>0</v>
      </c>
      <c r="K104" s="63">
        <f>K105</f>
        <v>0</v>
      </c>
      <c r="L104" s="61">
        <f>SUM(H104-K104)</f>
        <v>0</v>
      </c>
      <c r="M104" s="61">
        <v>0</v>
      </c>
      <c r="N104" s="61">
        <f>SUM(-I104+L104+M104)</f>
        <v>0</v>
      </c>
      <c r="O104" s="64">
        <f>O105</f>
        <v>0</v>
      </c>
      <c r="P104" s="65">
        <f>P105</f>
        <v>0</v>
      </c>
      <c r="Q104" s="61">
        <f>Q105</f>
        <v>0</v>
      </c>
      <c r="R104" s="48">
        <f>R105</f>
        <v>0</v>
      </c>
      <c r="S104" s="48">
        <v>0</v>
      </c>
    </row>
    <row r="105" spans="1:19" ht="15.75" thickBot="1" x14ac:dyDescent="0.3">
      <c r="A105" s="77" t="s">
        <v>130</v>
      </c>
      <c r="B105" s="55" t="s">
        <v>131</v>
      </c>
      <c r="C105" s="78">
        <v>0</v>
      </c>
      <c r="D105" s="78">
        <v>0</v>
      </c>
      <c r="E105" s="79">
        <v>0</v>
      </c>
      <c r="F105" s="127">
        <v>0</v>
      </c>
      <c r="G105" s="80">
        <v>0</v>
      </c>
      <c r="H105" s="81">
        <v>0</v>
      </c>
      <c r="I105" s="32">
        <v>0</v>
      </c>
      <c r="J105" s="38">
        <v>0</v>
      </c>
      <c r="K105" s="82">
        <v>0</v>
      </c>
      <c r="L105" s="78">
        <f>SUM(H105-K105)</f>
        <v>0</v>
      </c>
      <c r="M105" s="16">
        <v>0</v>
      </c>
      <c r="N105" s="78">
        <f>SUM(-I105+L105+M105)</f>
        <v>0</v>
      </c>
      <c r="O105" s="79">
        <v>0</v>
      </c>
      <c r="P105" s="35">
        <f t="shared" ref="P105:P113" si="41">K105-O105</f>
        <v>0</v>
      </c>
      <c r="Q105" s="36">
        <v>0</v>
      </c>
      <c r="R105" s="36">
        <v>0</v>
      </c>
      <c r="S105" s="36">
        <v>0</v>
      </c>
    </row>
    <row r="106" spans="1:19" ht="15.75" thickBot="1" x14ac:dyDescent="0.3">
      <c r="A106" s="59">
        <v>3</v>
      </c>
      <c r="B106" s="60" t="s">
        <v>146</v>
      </c>
      <c r="C106" s="61">
        <f>SUM(C108:C113)</f>
        <v>50000</v>
      </c>
      <c r="D106" s="61">
        <v>0</v>
      </c>
      <c r="E106" s="80">
        <f>SUM(E108:E113)</f>
        <v>50000</v>
      </c>
      <c r="F106" s="127">
        <f>SUM(F107:F113)</f>
        <v>0</v>
      </c>
      <c r="G106" s="83">
        <f t="shared" si="33"/>
        <v>50000</v>
      </c>
      <c r="H106" s="84">
        <f>SUM(H107:H113)</f>
        <v>0</v>
      </c>
      <c r="I106" s="84">
        <v>0</v>
      </c>
      <c r="J106" s="61">
        <f>SUM(J107:J113)</f>
        <v>0</v>
      </c>
      <c r="K106" s="63">
        <f>SUM(K107:K113)</f>
        <v>0</v>
      </c>
      <c r="L106" s="61">
        <f>SUM(L107:L113)</f>
        <v>0</v>
      </c>
      <c r="M106" s="61">
        <f>SUM(M108:M113)</f>
        <v>50000</v>
      </c>
      <c r="N106" s="61">
        <f>SUM(N107:N113)</f>
        <v>50000</v>
      </c>
      <c r="O106" s="64">
        <f>SUM(O107:O113)</f>
        <v>0</v>
      </c>
      <c r="P106" s="65">
        <f>SUM(P107:P113)</f>
        <v>0</v>
      </c>
      <c r="Q106" s="65">
        <f>SUM(Q107:Q113)</f>
        <v>0</v>
      </c>
      <c r="R106" s="48">
        <f>SUM(J106/G106*100%)</f>
        <v>0</v>
      </c>
      <c r="S106" s="48">
        <f>SUM(K106/G106*100%)</f>
        <v>0</v>
      </c>
    </row>
    <row r="107" spans="1:19" x14ac:dyDescent="0.25">
      <c r="A107" s="27" t="s">
        <v>147</v>
      </c>
      <c r="B107" s="55" t="s">
        <v>148</v>
      </c>
      <c r="C107" s="85">
        <v>0</v>
      </c>
      <c r="D107" s="86">
        <v>0</v>
      </c>
      <c r="E107" s="87">
        <v>0</v>
      </c>
      <c r="F107" s="128">
        <v>0</v>
      </c>
      <c r="G107" s="88">
        <f t="shared" si="33"/>
        <v>0</v>
      </c>
      <c r="H107" s="89">
        <v>0</v>
      </c>
      <c r="I107" s="90">
        <v>0</v>
      </c>
      <c r="J107" s="91">
        <v>0</v>
      </c>
      <c r="K107" s="38">
        <v>0</v>
      </c>
      <c r="L107" s="85">
        <f t="shared" ref="L107:L113" si="42">SUM(H107-K107)</f>
        <v>0</v>
      </c>
      <c r="M107" s="92">
        <f>SUM(G107-H107)</f>
        <v>0</v>
      </c>
      <c r="N107" s="93">
        <f t="shared" ref="N107:N113" si="43">SUM(-I107+L107+M107)</f>
        <v>0</v>
      </c>
      <c r="O107" s="94">
        <v>0</v>
      </c>
      <c r="P107" s="95">
        <f t="shared" si="41"/>
        <v>0</v>
      </c>
      <c r="Q107" s="96">
        <v>0</v>
      </c>
      <c r="R107" s="96">
        <v>0</v>
      </c>
      <c r="S107" s="96">
        <v>0</v>
      </c>
    </row>
    <row r="108" spans="1:19" x14ac:dyDescent="0.25">
      <c r="A108" s="27">
        <v>314</v>
      </c>
      <c r="B108" s="55" t="s">
        <v>149</v>
      </c>
      <c r="C108" s="85">
        <v>0</v>
      </c>
      <c r="D108" s="86">
        <v>0</v>
      </c>
      <c r="E108" s="86">
        <v>0</v>
      </c>
      <c r="F108" s="120">
        <v>0</v>
      </c>
      <c r="G108" s="56">
        <f t="shared" si="33"/>
        <v>0</v>
      </c>
      <c r="H108" s="97">
        <v>0</v>
      </c>
      <c r="I108" s="98">
        <v>0</v>
      </c>
      <c r="J108" s="99">
        <v>0</v>
      </c>
      <c r="K108" s="38">
        <v>0</v>
      </c>
      <c r="L108" s="85">
        <f t="shared" si="42"/>
        <v>0</v>
      </c>
      <c r="M108" s="92"/>
      <c r="N108" s="85">
        <f t="shared" si="43"/>
        <v>0</v>
      </c>
      <c r="O108" s="100">
        <v>0</v>
      </c>
      <c r="P108" s="35">
        <f t="shared" si="41"/>
        <v>0</v>
      </c>
      <c r="Q108" s="101">
        <v>0</v>
      </c>
      <c r="R108" s="101">
        <v>0</v>
      </c>
      <c r="S108" s="101">
        <v>0</v>
      </c>
    </row>
    <row r="109" spans="1:19" x14ac:dyDescent="0.25">
      <c r="A109" s="27">
        <v>320</v>
      </c>
      <c r="B109" s="55" t="s">
        <v>150</v>
      </c>
      <c r="C109" s="85">
        <v>0</v>
      </c>
      <c r="D109" s="86">
        <v>0</v>
      </c>
      <c r="E109" s="86">
        <v>0</v>
      </c>
      <c r="F109" s="120">
        <v>0</v>
      </c>
      <c r="G109" s="56">
        <f t="shared" si="33"/>
        <v>0</v>
      </c>
      <c r="H109" s="97">
        <v>0</v>
      </c>
      <c r="I109" s="98">
        <v>0</v>
      </c>
      <c r="J109" s="99">
        <v>0</v>
      </c>
      <c r="K109" s="38">
        <v>0</v>
      </c>
      <c r="L109" s="85">
        <f t="shared" si="42"/>
        <v>0</v>
      </c>
      <c r="M109" s="92">
        <f>SUM(G109-H109)</f>
        <v>0</v>
      </c>
      <c r="N109" s="85">
        <f t="shared" si="43"/>
        <v>0</v>
      </c>
      <c r="O109" s="100">
        <v>0</v>
      </c>
      <c r="P109" s="35">
        <f t="shared" si="41"/>
        <v>0</v>
      </c>
      <c r="Q109" s="101">
        <v>0</v>
      </c>
      <c r="R109" s="101">
        <v>0</v>
      </c>
      <c r="S109" s="101">
        <v>0</v>
      </c>
    </row>
    <row r="110" spans="1:19" x14ac:dyDescent="0.25">
      <c r="A110" s="27" t="s">
        <v>151</v>
      </c>
      <c r="B110" s="55" t="s">
        <v>152</v>
      </c>
      <c r="C110" s="85">
        <v>0</v>
      </c>
      <c r="D110" s="86">
        <v>0</v>
      </c>
      <c r="E110" s="86">
        <v>0</v>
      </c>
      <c r="F110" s="120">
        <v>0</v>
      </c>
      <c r="G110" s="56">
        <f t="shared" si="33"/>
        <v>0</v>
      </c>
      <c r="H110" s="97">
        <v>0</v>
      </c>
      <c r="I110" s="98">
        <v>0</v>
      </c>
      <c r="J110" s="99">
        <v>0</v>
      </c>
      <c r="K110" s="38">
        <v>0</v>
      </c>
      <c r="L110" s="85">
        <f t="shared" si="42"/>
        <v>0</v>
      </c>
      <c r="M110" s="92">
        <f>SUM(G110-H110)</f>
        <v>0</v>
      </c>
      <c r="N110" s="85">
        <f t="shared" si="43"/>
        <v>0</v>
      </c>
      <c r="O110" s="100">
        <v>0</v>
      </c>
      <c r="P110" s="35">
        <f t="shared" si="41"/>
        <v>0</v>
      </c>
      <c r="Q110" s="101">
        <v>0</v>
      </c>
      <c r="R110" s="101">
        <v>0</v>
      </c>
      <c r="S110" s="101">
        <v>0</v>
      </c>
    </row>
    <row r="111" spans="1:19" x14ac:dyDescent="0.25">
      <c r="A111" s="27" t="s">
        <v>153</v>
      </c>
      <c r="B111" s="55" t="s">
        <v>154</v>
      </c>
      <c r="C111" s="85">
        <v>0</v>
      </c>
      <c r="D111" s="86">
        <v>0</v>
      </c>
      <c r="E111" s="86">
        <v>0</v>
      </c>
      <c r="F111" s="120">
        <v>0</v>
      </c>
      <c r="G111" s="56">
        <f t="shared" si="33"/>
        <v>0</v>
      </c>
      <c r="H111" s="97">
        <v>0</v>
      </c>
      <c r="I111" s="98">
        <v>0</v>
      </c>
      <c r="J111" s="99">
        <v>0</v>
      </c>
      <c r="K111" s="38">
        <v>0</v>
      </c>
      <c r="L111" s="85">
        <f t="shared" si="42"/>
        <v>0</v>
      </c>
      <c r="M111" s="92">
        <f>SUM(G111-H111)</f>
        <v>0</v>
      </c>
      <c r="N111" s="85">
        <f t="shared" si="43"/>
        <v>0</v>
      </c>
      <c r="O111" s="100">
        <v>0</v>
      </c>
      <c r="P111" s="35">
        <f t="shared" si="41"/>
        <v>0</v>
      </c>
      <c r="Q111" s="101">
        <v>0</v>
      </c>
      <c r="R111" s="101">
        <v>0</v>
      </c>
      <c r="S111" s="101">
        <v>0</v>
      </c>
    </row>
    <row r="112" spans="1:19" x14ac:dyDescent="0.25">
      <c r="A112" s="27" t="s">
        <v>155</v>
      </c>
      <c r="B112" s="55" t="s">
        <v>146</v>
      </c>
      <c r="C112" s="85">
        <v>0</v>
      </c>
      <c r="D112" s="86">
        <v>0</v>
      </c>
      <c r="E112" s="86">
        <v>0</v>
      </c>
      <c r="F112" s="120">
        <v>0</v>
      </c>
      <c r="G112" s="56">
        <f t="shared" si="33"/>
        <v>0</v>
      </c>
      <c r="H112" s="97">
        <v>0</v>
      </c>
      <c r="I112" s="98">
        <v>0</v>
      </c>
      <c r="J112" s="99">
        <v>0</v>
      </c>
      <c r="K112" s="38">
        <v>0</v>
      </c>
      <c r="L112" s="85">
        <f t="shared" si="42"/>
        <v>0</v>
      </c>
      <c r="M112" s="92">
        <f>SUM(G112-H112)</f>
        <v>0</v>
      </c>
      <c r="N112" s="85">
        <f t="shared" si="43"/>
        <v>0</v>
      </c>
      <c r="O112" s="100">
        <v>0</v>
      </c>
      <c r="P112" s="35">
        <f t="shared" si="41"/>
        <v>0</v>
      </c>
      <c r="Q112" s="101">
        <v>0</v>
      </c>
      <c r="R112" s="101">
        <v>0</v>
      </c>
      <c r="S112" s="101">
        <v>0</v>
      </c>
    </row>
    <row r="113" spans="1:19" ht="15.75" thickBot="1" x14ac:dyDescent="0.3">
      <c r="A113" s="102">
        <v>380</v>
      </c>
      <c r="B113" s="103" t="s">
        <v>156</v>
      </c>
      <c r="C113" s="104">
        <v>50000</v>
      </c>
      <c r="D113" s="105">
        <v>0</v>
      </c>
      <c r="E113" s="105">
        <v>50000</v>
      </c>
      <c r="F113" s="121">
        <v>0</v>
      </c>
      <c r="G113" s="106">
        <f t="shared" si="33"/>
        <v>50000</v>
      </c>
      <c r="H113" s="107">
        <v>0</v>
      </c>
      <c r="I113" s="108">
        <v>0</v>
      </c>
      <c r="J113" s="109">
        <v>0</v>
      </c>
      <c r="K113" s="110">
        <v>0</v>
      </c>
      <c r="L113" s="104">
        <f t="shared" si="42"/>
        <v>0</v>
      </c>
      <c r="M113" s="111">
        <f>SUM(G113-H113)</f>
        <v>50000</v>
      </c>
      <c r="N113" s="104">
        <f t="shared" si="43"/>
        <v>50000</v>
      </c>
      <c r="O113" s="112">
        <v>0</v>
      </c>
      <c r="P113" s="113">
        <f t="shared" si="41"/>
        <v>0</v>
      </c>
      <c r="Q113" s="114">
        <v>0</v>
      </c>
      <c r="R113" s="114">
        <v>0</v>
      </c>
      <c r="S113" s="114">
        <f>SUM(K113/G113*100%)</f>
        <v>0</v>
      </c>
    </row>
  </sheetData>
  <mergeCells count="7">
    <mergeCell ref="A8:B8"/>
    <mergeCell ref="A1:S1"/>
    <mergeCell ref="A2:S2"/>
    <mergeCell ref="A3:S3"/>
    <mergeCell ref="A4:S4"/>
    <mergeCell ref="A5:S5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Gantes</dc:creator>
  <cp:lastModifiedBy>Juan Pablo Rodriguez</cp:lastModifiedBy>
  <dcterms:created xsi:type="dcterms:W3CDTF">2022-03-07T12:19:00Z</dcterms:created>
  <dcterms:modified xsi:type="dcterms:W3CDTF">2022-05-03T21:02:27Z</dcterms:modified>
</cp:coreProperties>
</file>